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0" windowWidth="11340" windowHeight="63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платим Переспективе</t>
        </r>
      </text>
    </comment>
    <comment ref="J3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9350 это проектно сметная документация по кап.влож.</t>
        </r>
      </text>
    </comment>
    <comment ref="A3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это парк</t>
        </r>
      </text>
    </comment>
    <comment ref="A3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фед.-6 723 682
обл-13 7218
мест-361 100</t>
        </r>
      </text>
    </comment>
    <comment ref="G3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фед-6 723 682,00
обл- 137218,00
мес-361 100</t>
        </r>
      </text>
    </comment>
    <comment ref="J3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фед-6 577 652,50
обл-134 237,81
мес- 353 257,38</t>
        </r>
      </text>
    </comment>
    <comment ref="A3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областные</t>
        </r>
      </text>
    </comment>
    <comment ref="G3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1 696 900 -областные</t>
        </r>
      </text>
    </comment>
    <comment ref="A368" authorId="0">
      <text>
        <r>
          <rPr>
            <b/>
            <sz val="9"/>
            <rFont val="Tahoma"/>
            <family val="2"/>
          </rPr>
          <t>Us
наша доля местные</t>
        </r>
      </text>
    </comment>
    <comment ref="G3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89 311- мест</t>
        </r>
      </text>
    </comment>
    <comment ref="D4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федеральные+н/д</t>
        </r>
      </text>
    </comment>
    <comment ref="D4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федеральные+н/д</t>
        </r>
      </text>
    </comment>
    <comment ref="K4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фед-61800  н/д  3252,64
</t>
        </r>
      </text>
    </comment>
  </commentList>
</comments>
</file>

<file path=xl/sharedStrings.xml><?xml version="1.0" encoding="utf-8"?>
<sst xmlns="http://schemas.openxmlformats.org/spreadsheetml/2006/main" count="2692" uniqueCount="462">
  <si>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</si>
  <si>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</si>
  <si>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</si>
  <si>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</si>
  <si>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</si>
  <si>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</si>
  <si>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</si>
  <si>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</si>
  <si>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</si>
  <si>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</si>
  <si>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</si>
  <si>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</si>
  <si>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</si>
  <si>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</si>
  <si>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</si>
  <si>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</si>
  <si>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</si>
  <si>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</si>
  <si>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</si>
  <si>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</si>
  <si>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</si>
  <si>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</si>
  <si>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</si>
  <si>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</si>
  <si>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</si>
  <si>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</si>
  <si>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</si>
  <si>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</si>
  <si>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</si>
  <si>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</si>
  <si>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</si>
  <si>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</si>
  <si>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</si>
  <si>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</si>
  <si>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</si>
  <si>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</si>
  <si>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</si>
  <si>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</si>
  <si>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</si>
  <si>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</si>
  <si>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</si>
  <si>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</si>
  <si>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</si>
  <si>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</si>
  <si>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</si>
  <si>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</si>
  <si>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</si>
  <si>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</si>
  <si>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</si>
  <si>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</si>
  <si>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</si>
  <si>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</si>
  <si>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</si>
  <si>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</si>
  <si>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</si>
  <si>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0103</t>
  </si>
  <si>
    <t>0203</t>
  </si>
  <si>
    <t>Жилищно-коммунальное хозяйство</t>
  </si>
  <si>
    <t>0500</t>
  </si>
  <si>
    <t>000</t>
  </si>
  <si>
    <t>Коммунальное хозяйство</t>
  </si>
  <si>
    <t>0502</t>
  </si>
  <si>
    <t>0503</t>
  </si>
  <si>
    <t>241</t>
  </si>
  <si>
    <t>ремонт оборудования</t>
  </si>
  <si>
    <t>капитальный ремонт</t>
  </si>
  <si>
    <t>содержание тревожной кнопки</t>
  </si>
  <si>
    <t>медикаменты</t>
  </si>
  <si>
    <t>0707</t>
  </si>
  <si>
    <t>Свод по Культуре</t>
  </si>
  <si>
    <t>0801</t>
  </si>
  <si>
    <t>1003</t>
  </si>
  <si>
    <t>251</t>
  </si>
  <si>
    <t>ИТОГО ПО ГОРОДУ</t>
  </si>
  <si>
    <t>ЖКХ</t>
  </si>
  <si>
    <t>приобретение оборудования</t>
  </si>
  <si>
    <t>703</t>
  </si>
  <si>
    <t>0505</t>
  </si>
  <si>
    <t>Свод по ЖКХ</t>
  </si>
  <si>
    <t>Пенсионное обеспечение</t>
  </si>
  <si>
    <t>1001</t>
  </si>
  <si>
    <t>доплата к пенсии муниципальным служащим</t>
  </si>
  <si>
    <t>263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</si>
  <si>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</si>
  <si>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</si>
  <si>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</si>
  <si>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</si>
  <si>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</si>
  <si>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</si>
  <si>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</si>
  <si>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</si>
  <si>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</si>
  <si>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</si>
  <si>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</si>
  <si>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</si>
  <si>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</si>
  <si>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</si>
  <si>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</si>
  <si>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</si>
  <si>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</si>
  <si>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</si>
  <si>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</si>
  <si>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</si>
  <si>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</si>
  <si>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</si>
  <si>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</si>
  <si>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</si>
  <si>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</si>
  <si>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</si>
  <si>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</si>
  <si>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</si>
  <si>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</si>
  <si>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</si>
  <si>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</si>
  <si>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</si>
  <si>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</si>
  <si>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</si>
  <si>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</si>
  <si>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</si>
  <si>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</si>
  <si>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</si>
  <si>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</si>
  <si>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</si>
  <si>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</si>
  <si>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</si>
  <si>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</si>
  <si>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</si>
  <si>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</si>
  <si>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</si>
  <si>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</si>
  <si>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</si>
  <si>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</si>
  <si>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</si>
  <si>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</si>
  <si>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</si>
  <si>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</si>
  <si>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</si>
  <si>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9990000110</t>
  </si>
  <si>
    <t>9990001110</t>
  </si>
  <si>
    <t>Дополнит.эк. классиф.</t>
  </si>
  <si>
    <t>9990000190</t>
  </si>
  <si>
    <t>9990020010</t>
  </si>
  <si>
    <t>0200020020</t>
  </si>
  <si>
    <t>0200120020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</si>
  <si>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</si>
  <si>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</si>
  <si>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</si>
  <si>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</si>
  <si>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</si>
  <si>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</si>
  <si>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03</t>
  </si>
  <si>
    <t>0000000000</t>
  </si>
  <si>
    <t>9990020050</t>
  </si>
  <si>
    <t>Благоустройство</t>
  </si>
  <si>
    <t>9990020060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</si>
  <si>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</si>
  <si>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</si>
  <si>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</si>
  <si>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</si>
  <si>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</si>
  <si>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</si>
  <si>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</si>
  <si>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</si>
  <si>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</si>
  <si>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</si>
  <si>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</si>
  <si>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</si>
  <si>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</si>
  <si>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</si>
  <si>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>1300420130</t>
  </si>
  <si>
    <t>1300520130</t>
  </si>
  <si>
    <t>Социальная политика</t>
  </si>
  <si>
    <t>10</t>
  </si>
  <si>
    <t>9990020070</t>
  </si>
  <si>
    <t>Социальное обеспечение населения</t>
  </si>
  <si>
    <t>Физическая культура и спорт</t>
  </si>
  <si>
    <t>1100</t>
  </si>
  <si>
    <t>Другие вопросы в области физической культуры и спорта</t>
  </si>
  <si>
    <t>1600420160</t>
  </si>
  <si>
    <t>1600120160</t>
  </si>
  <si>
    <t>9990060080</t>
  </si>
  <si>
    <t>1200120120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</si>
  <si>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</si>
  <si>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</si>
  <si>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</si>
  <si>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</si>
  <si>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</si>
  <si>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</si>
  <si>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</si>
  <si>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</si>
  <si>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</si>
  <si>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</si>
  <si>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</si>
  <si>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</si>
  <si>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0700120070</t>
  </si>
  <si>
    <t>Расходы на оснащение и модернизацию уличного освещения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</si>
  <si>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</si>
  <si>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</si>
  <si>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</si>
  <si>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</si>
  <si>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</si>
  <si>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1600520160</t>
  </si>
  <si>
    <t>содержание имущества</t>
  </si>
  <si>
    <t>газ</t>
  </si>
  <si>
    <t>129</t>
  </si>
  <si>
    <t>119</t>
  </si>
  <si>
    <t>Уплата членских взносов и иных платежей</t>
  </si>
  <si>
    <t>1100820110</t>
  </si>
  <si>
    <t>853</t>
  </si>
  <si>
    <t>831</t>
  </si>
  <si>
    <t>0400</t>
  </si>
  <si>
    <t>9990010050</t>
  </si>
  <si>
    <t>9990010810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</si>
  <si>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</si>
  <si>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</si>
  <si>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</si>
  <si>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</si>
  <si>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</si>
  <si>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</si>
  <si>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999002Ж050</t>
  </si>
  <si>
    <t>999001Ф060</t>
  </si>
  <si>
    <t>2000120200</t>
  </si>
  <si>
    <t>2000220200</t>
  </si>
  <si>
    <t>9990014970</t>
  </si>
  <si>
    <t>0412</t>
  </si>
  <si>
    <t>0500220050</t>
  </si>
  <si>
    <t>Расходы на проведение экспертизы сметной документации при проведении ремонта и обеспечении благоустройства дворовых территорий многоквартирных домов</t>
  </si>
  <si>
    <t>2000420200</t>
  </si>
  <si>
    <t>2200320220</t>
  </si>
  <si>
    <t>Расходы на материальное обеспечение мероприятий по проведению оценки жилого фонда</t>
  </si>
  <si>
    <t>1301220130</t>
  </si>
  <si>
    <t>Дорожное хозяйство(дорожне фонды)</t>
  </si>
  <si>
    <t>1900120190</t>
  </si>
  <si>
    <t>главного распорядителя средств бюджета</t>
  </si>
  <si>
    <t>текущий финансовый год</t>
  </si>
  <si>
    <t>Сумма на:</t>
  </si>
  <si>
    <t>в том числе по кварталам</t>
  </si>
  <si>
    <t>400</t>
  </si>
  <si>
    <t>ОХРАНА СЕМЬИ И ДЕТСТВА</t>
  </si>
  <si>
    <t>1004</t>
  </si>
  <si>
    <t>13009S0390</t>
  </si>
  <si>
    <t>уплата налогов,сборов и иных платежей</t>
  </si>
  <si>
    <t>200F255550</t>
  </si>
  <si>
    <t>1900220190</t>
  </si>
  <si>
    <t>2200209702</t>
  </si>
  <si>
    <t>412</t>
  </si>
  <si>
    <t>22003S9702</t>
  </si>
  <si>
    <t>иные выплаты текущего характера физическим лицам</t>
  </si>
  <si>
    <t>999002Ч010</t>
  </si>
  <si>
    <t>9990000100</t>
  </si>
  <si>
    <t>264</t>
  </si>
  <si>
    <t>221F367483</t>
  </si>
  <si>
    <t>221F367484</t>
  </si>
  <si>
    <t>221F36748S</t>
  </si>
  <si>
    <t>уплата иных платежей</t>
  </si>
  <si>
    <t>уплата налога на имущество организаций и земельного налога</t>
  </si>
  <si>
    <t>уплата прочих налого,сборов</t>
  </si>
  <si>
    <t>уплата прочих налогов, сборов</t>
  </si>
  <si>
    <t>295</t>
  </si>
  <si>
    <t>другие экономические санкции</t>
  </si>
  <si>
    <t>Субсидии на финансовое обеспечение муниципального задания на оказание муниципальных услуг (выполнение работ) МБУ "Восход"</t>
  </si>
  <si>
    <t>1001220100</t>
  </si>
  <si>
    <t>241/223.1</t>
  </si>
  <si>
    <t>241/223.2</t>
  </si>
  <si>
    <t>241/223.3</t>
  </si>
  <si>
    <t>увеличение стоимости основных средств</t>
  </si>
  <si>
    <t>расходы на горючесмазочные материалы</t>
  </si>
  <si>
    <t>241/340.1</t>
  </si>
  <si>
    <t>241/340.2</t>
  </si>
  <si>
    <t>291</t>
  </si>
  <si>
    <t>налоги,пошлины и сбооры</t>
  </si>
  <si>
    <t>13008S0390</t>
  </si>
  <si>
    <t>243</t>
  </si>
  <si>
    <t>работы,услуги по содержанию имущества</t>
  </si>
  <si>
    <t>1001320100</t>
  </si>
  <si>
    <t>касс.расх</t>
  </si>
  <si>
    <t>остаток</t>
  </si>
  <si>
    <t>МП "Программа модернизации систем водоснабжения и водоотведения города Карабаново "</t>
  </si>
  <si>
    <t>99900S0050</t>
  </si>
  <si>
    <t>Муниципальная программа  "Развитие физической культуры и спорта города Карабаново "</t>
  </si>
  <si>
    <t>Муниципальная программа "Развитие физической культуры и спорта города Карабаново "</t>
  </si>
  <si>
    <t>Муниципальная программа "Сохранение и развитие культуры города Карабаново"</t>
  </si>
  <si>
    <t>Муниципальная программа "Детская и молодежная политика города Карабаново 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</si>
  <si>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учреждения"Дирекция жизнеобеспечения населения" города Карабаново " </t>
  </si>
  <si>
    <t>Муниципальная программа "Формирование современной городской среды "</t>
  </si>
  <si>
    <t>МП "Программа модернизации уличного освещения в г.Карабаново"</t>
  </si>
  <si>
    <t>МП "Благоустройство территории города Карабаново "</t>
  </si>
  <si>
    <t>Муниципальная программа "Проведение оценки муниципального имущества города Карабаново и оценки аренды муниципального имущества города Карабаново"</t>
  </si>
  <si>
    <t>Расходы на реализацию мероприятий для обеспечения инженерной и транспортной инфраструктуры земельных участков, передаваемых многодетным семьям (капитальные вложения в объекты государственной (муниципальной) собственности)</t>
  </si>
  <si>
    <t>Расходы на реализацию мероприятий по обеспечению проживающих в аварийном жилищном фонде граждан жилыми помещениями (доля софинансирования местного бюджета) (капитальные вложения в объекты государственной (муниципальной) собственности)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</si>
  <si>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 (капитальные вложения в объекты государственной (муниципальной) собственности)</t>
  </si>
  <si>
    <t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 (капитальные вложения в объекты государственной (муниципальной) собственности)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</si>
  <si>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бюджета)(капитальные вложения в объекты государственной (муниципальной) собственности)</t>
  </si>
  <si>
    <t xml:space="preserve">Расходы по оплате уличного освещения </t>
  </si>
  <si>
    <t>414</t>
  </si>
  <si>
    <t xml:space="preserve">Расходы на выплаты по оплате труда работников местного самоуправления (глава администрации) </t>
  </si>
  <si>
    <t xml:space="preserve">Расходы на выплаты по оплате труда работников аппарата местного самоуправления </t>
  </si>
  <si>
    <t xml:space="preserve">Расходы на обеспечение функций органов местного самоуправления </t>
  </si>
  <si>
    <t>Резервный фонд администрации города Карабаново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</si>
  <si>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муниципального образования г.Карабаново</t>
  </si>
  <si>
    <t>Свод Совет народных депутатов города Карабаново</t>
  </si>
  <si>
    <t>Расходы на обеспечение функций органов местного самоуправления  (Закупка товаров, работ и услуг для муниципальных нужд)</t>
  </si>
  <si>
    <t>Учреждение: Администрация города Карабаново Александровского района Владимирской области</t>
  </si>
  <si>
    <t xml:space="preserve">Расходы на выплаты по оплате труда работников местного самоуправления (Администрации) </t>
  </si>
  <si>
    <t>Расходы на обеспечение функций органов местного самоуправления  (Уплата налогов, сборов и иных платежей)</t>
  </si>
  <si>
    <t>прочие работы,услуги</t>
  </si>
  <si>
    <t>Расходы на технические паспорта и технические планы объектов недвижимости муниципального образования город Карабаново</t>
  </si>
  <si>
    <t>Муниципальная программа"Осуществление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"Дирекция жизнеобеспечения населения" города Карабаново"</t>
  </si>
  <si>
    <t>работы, услуги по содержанию имущества</t>
  </si>
  <si>
    <t>Расходы на обеспечение функций органов местного самоуправления на управление муниципальным имуществом (Уплата налогов, сборов и иных платежей)</t>
  </si>
  <si>
    <t>Расходы на выплаты по оплате труда работников осуществляюжих первичный воинский учет на территориях, где отсутствуют военные комиссариаты (Расходы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фондами)</t>
  </si>
  <si>
    <t>Расходы на обеспечение функций по осуществлению первичного воинского учета на территориях, где отсутствуют военные комиссариаты  (Закупка товаров, работ и услуг для государственных (муниципальных) нужд)</t>
  </si>
  <si>
    <t>I год планового периода  2022 год</t>
  </si>
  <si>
    <t>II год планового периода 2023 год</t>
  </si>
  <si>
    <t>Обеспечение первичных мер пожарной безопасности, противопожарной защиты населенного пункта на территории муниципального образования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</si>
  <si>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(Межбюджетные трансферты)</t>
  </si>
  <si>
    <t>Субсидии  на финансовое обеспечение муниципального задания на оказание муниципальных услуг (выполнение работ) МБУ "Восход</t>
  </si>
  <si>
    <t>2200000000</t>
  </si>
  <si>
    <t>0100000000</t>
  </si>
  <si>
    <t>1100000000</t>
  </si>
  <si>
    <t>1000000000</t>
  </si>
  <si>
    <t>0500000000</t>
  </si>
  <si>
    <t>0700000000</t>
  </si>
  <si>
    <t>2000000000</t>
  </si>
  <si>
    <t>1300000000</t>
  </si>
  <si>
    <t>1600000000</t>
  </si>
  <si>
    <t>Муниципальная программа «Переселение граждан из аварийного жилищного фонда в муниципальном образовании город Карабаново Александровского района Владимирской области »</t>
  </si>
  <si>
    <t>Расходы на реализацию мероприятий по обеспечению проживающих в аварийном жилищном фонде граждан жилыми помещениями (доля софинансирования областного бюджета) (капитальные вложения в объекты государственной (муниципальной) собственности)</t>
  </si>
  <si>
    <t>Муниципальная программа "Благоустройство территории города Карабаново "</t>
  </si>
  <si>
    <t>Расходы на проведение городских мероприятий, праздников, фестивалей, выставок и конкурсов для детей и молодёжи</t>
  </si>
  <si>
    <t>увеличение стомисти материальных запасов</t>
  </si>
  <si>
    <t>Субсидии 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</si>
  <si>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Субсидии  на финансовое обеспечение муниципального задания на оказание муниципальных услуг (выполнение работ) МБУК Дом культуры города Карабаново" (проведение городских мероприятий)</t>
  </si>
  <si>
    <t>Субсидии 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</si>
  <si>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Субсидия на иные цели, не связанные с финансовым выполнением муниципального задания МБУК «Карабановская городская библиотека имени Ю.Н.Худова</t>
  </si>
  <si>
    <t>Субсидии  на финансовое обеспечение муниципального задания на оказание муниципальных услуг (выполнение работ)</t>
  </si>
  <si>
    <t>Пособия по социальной помощи населению в денежной форме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</si>
  <si>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многодетных семей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</si>
  <si>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молодых семей (Межбюджетные трансферты)</t>
  </si>
  <si>
    <t>перечисления другим бюджетам бюджетной системы Российской Федерации</t>
  </si>
  <si>
    <t>340.2</t>
  </si>
  <si>
    <t>иные выплаты текущего характера организациям</t>
  </si>
  <si>
    <t>297</t>
  </si>
  <si>
    <t>штрафы за нарушение законодательства о налогах и сборах,законодательства о страховых взносах</t>
  </si>
  <si>
    <t>292</t>
  </si>
  <si>
    <t>Муниципальная программа "Оформление права собственности на муниципальное имущество муниципального образование город Карабаново "</t>
  </si>
  <si>
    <t>0100320010</t>
  </si>
  <si>
    <t>247</t>
  </si>
  <si>
    <t>340.1</t>
  </si>
  <si>
    <t xml:space="preserve">коммунальные услуги </t>
  </si>
  <si>
    <t>Расходы на обеспечение функций органов местного самоуправления на управление муниципальным имуществом (исполнение судебных актов)</t>
  </si>
  <si>
    <t>830</t>
  </si>
  <si>
    <t>исполнение судебных актов Российской Федерации и мировых соглашений по возмещению причиненного вреда</t>
  </si>
  <si>
    <t>Расходы на обеспечение функций органов местного самоуправления на управление муниципальным имуществом (уплата налогов,сборов и иных платежей)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</si>
  <si>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</si>
  <si>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налоги, пошлины и сборы</t>
  </si>
  <si>
    <t>иные выплаты текущего характера</t>
  </si>
  <si>
    <t>Мобилизационная и вневойсковая подготовка</t>
  </si>
  <si>
    <t>0310</t>
  </si>
  <si>
    <t>Муниципальная программа "Обеспечение пожарной безопасности в городе Карабаново "</t>
  </si>
  <si>
    <t>1700000000</t>
  </si>
  <si>
    <t>Субсидии на иные цели, не связанные с  выполнением муниципального задания на оказание муниципальных услуг (выполнение работ ) МБУ "Восход"</t>
  </si>
  <si>
    <t>Муниципальная программа "Комплексное развитие транспортной инфраструктуры муниципального образования город Карабаново"</t>
  </si>
  <si>
    <t>1900000000</t>
  </si>
  <si>
    <t>Расходы на изготовление проектно-сметной документацию и экспертизу сметной документации по ремонту автомобильных дорог общего пользования</t>
  </si>
  <si>
    <t>Межбюджетные трансферты бюджету Александровского района на осуществление строительного контроля при выполнении ремонта автомобильных дорог общего пользования</t>
  </si>
  <si>
    <t>Межбюджетные трансферты бюджету Александровского района на осуществление дорожной деятельности в отношении ремонта автомобильных дорог общего пользования (Межбюджетные трансферты)</t>
  </si>
  <si>
    <t>19002S2460</t>
  </si>
  <si>
    <t>Расходы на технический надзор за осуществлением ремонта дорожного покрытия улично-дорожной сети муниципального образования город Карабаново</t>
  </si>
  <si>
    <t>1900320190</t>
  </si>
  <si>
    <t>Расходы на приведение в нормативное состояние улично- дорожной сети города Карабаново</t>
  </si>
  <si>
    <t>1900420190</t>
  </si>
  <si>
    <t>Муниципальная программа "Оформление права собственности на муниципальное имущество муниципального образования город Карабаново "</t>
  </si>
  <si>
    <t>Расходы на изготовление проектно-сметной документации и экспертизу сметной документации</t>
  </si>
  <si>
    <t>9990020040</t>
  </si>
  <si>
    <t xml:space="preserve">Расходы на капитальный ремонт жилого фонда, находящегося в муниципальной собственности поселения  </t>
  </si>
  <si>
    <t xml:space="preserve">Расходы на содержание и капитальный ремонт жилого фонда,  находящегося в муниципальной собственности поселения 
</t>
  </si>
  <si>
    <t>9990020090</t>
  </si>
  <si>
    <t xml:space="preserve">Расходы на содержание и капитальный ремонт жилого фонда,  находящегося в муниципальной собственности поселения (исполнение судебных актов)
</t>
  </si>
  <si>
    <t>штрафы за нарушение законодательства о закупках и нарушение контрактов(договоров)</t>
  </si>
  <si>
    <t>293</t>
  </si>
  <si>
    <t>298</t>
  </si>
  <si>
    <t>Муниципальная программа «Капитальный ремонт многоквартирных домов муниципального образования город Карабаново»</t>
  </si>
  <si>
    <t>2400000000</t>
  </si>
  <si>
    <t>00</t>
  </si>
  <si>
    <t>Проведение капитального ремонта многоквартирных домов на территории г. Карабаново»</t>
  </si>
  <si>
    <t>2400120240</t>
  </si>
  <si>
    <t>иные выплаты капитального характера физическим лицам</t>
  </si>
  <si>
    <t>свет,уличное освещение</t>
  </si>
  <si>
    <t xml:space="preserve">Расходы на оплату услуг по изготовлению муниципальных программ  </t>
  </si>
  <si>
    <t>9990020020</t>
  </si>
  <si>
    <t>Расходы на изготовление проектно-сметной документации по ремонту городских канализационных очистных сооружений и коллектора</t>
  </si>
  <si>
    <t>МП "Модернизация  и капитальный ремонт системы теплоснабжения в городе Карабаново"</t>
  </si>
  <si>
    <t>1800000000</t>
  </si>
  <si>
    <t>Расходы на осуществление ремонтных работ объектов теплоснабжения г. Карабаново</t>
  </si>
  <si>
    <t>1800220180</t>
  </si>
  <si>
    <t>Расходы на актуализацию схем коммунальной инфраструктуры города Карабаново</t>
  </si>
  <si>
    <t>1800320180</t>
  </si>
  <si>
    <t>Субсидия на софинансирование операционной деятельности и развитие муниципальных предприятий (учреждений), оказывающих услуги по теплоснабжению и (или) горячему водоснабжению и находящихся в т.ч. в кризисном финансово- экономическом состоянии, ставящем под угрозу бесперебойное оказание коммунальных услуг</t>
  </si>
  <si>
    <t>1800420180</t>
  </si>
  <si>
    <t>813</t>
  </si>
  <si>
    <t>1800571580</t>
  </si>
  <si>
    <t>Муниципальная программа «Модернизация систем водоснабжения и водоотведения в городе Карабаново»</t>
  </si>
  <si>
    <t>2300000000</t>
  </si>
  <si>
    <t>Расходы на изготовление проектно- сметной документации по ремонту городских канализационных очистных сооружений</t>
  </si>
  <si>
    <t>2300120230</t>
  </si>
  <si>
    <t>Расходы на ремонт городских канализационных очистных сооружений и коллектора</t>
  </si>
  <si>
    <t>2300220230</t>
  </si>
  <si>
    <t>Расходы на оплату услуг по техническому обследованию объектов систем централизованного водоснабжения и водоотведения</t>
  </si>
  <si>
    <t>2300320230</t>
  </si>
  <si>
    <t>Расходы на материальное обеспечение  технического присоединения к электрическим сетям</t>
  </si>
  <si>
    <t>9990020030</t>
  </si>
  <si>
    <t xml:space="preserve">Расходы на обеспечение уличного освещения </t>
  </si>
  <si>
    <t>Расходы на содержание и ремонт муниципального имущества города Карабаново</t>
  </si>
  <si>
    <t>1000120100</t>
  </si>
  <si>
    <t>вывоз мусора</t>
  </si>
  <si>
    <t>223.5</t>
  </si>
  <si>
    <t>арендная плата за пользование имуществом</t>
  </si>
  <si>
    <t>224</t>
  </si>
  <si>
    <t>Благоустройство территории</t>
  </si>
  <si>
    <t>Расходы на выполнение проектной документации по благоустройству территории муниципального образования</t>
  </si>
  <si>
    <t>Расходы на выполнение проектной документации по благоустройству территории муниципального образования за счет добровольных пожертвований</t>
  </si>
  <si>
    <t>Расходы на осуществление строительного контроля при проведении работ по благоустройству</t>
  </si>
  <si>
    <t>2000320200</t>
  </si>
  <si>
    <t xml:space="preserve">Проведение ремонта и обеспечение благоустройства дворовых территорий многоквартирных домов </t>
  </si>
  <si>
    <t>Расходы на мероприятия по формированию комфортной городской среды</t>
  </si>
  <si>
    <t xml:space="preserve"> Расходы на реализацию мероприятий по благоустройству городской среды за счет областного бюджета</t>
  </si>
  <si>
    <t>2000571550</t>
  </si>
  <si>
    <t>Расходы на реализацию мероприятий по благоустройству городской среды за счет местного бюджета</t>
  </si>
  <si>
    <t>20006S1550</t>
  </si>
  <si>
    <t>Федеральный проект  "Формирование комфортной городской среды" национального проекта "Жилье и городская среда"</t>
  </si>
  <si>
    <t>Расходы на благоустройство общественной территории муниципального образования</t>
  </si>
  <si>
    <t>200F25555D</t>
  </si>
  <si>
    <t>Муниципальная программа «Муниципальная программа в области энергосбережения и повышения энергетической эффективности муниципального образования город Карабаново на 2021-2025 гг.»</t>
  </si>
  <si>
    <t>2100000000</t>
  </si>
  <si>
    <t>Расходы на материальное обеспечение уличного освещения</t>
  </si>
  <si>
    <t>2100220210</t>
  </si>
  <si>
    <t>уличное освещение</t>
  </si>
  <si>
    <t>2100320210</t>
  </si>
  <si>
    <t>1200000000</t>
  </si>
  <si>
    <t>мусор</t>
  </si>
  <si>
    <t>241/223.5</t>
  </si>
  <si>
    <t>Основное мероприятие «Субсидия на иные цели, не связанные с финансовым выполнением муниципального задания МБУК «Дом культуры» г. Карабаново</t>
  </si>
  <si>
    <t>1301320130</t>
  </si>
  <si>
    <t>0</t>
  </si>
  <si>
    <t>Субсидии на реализацию мероприятий по модернизации библиотек в части комплектования книжных фондов библиотек</t>
  </si>
  <si>
    <t>13010L519F</t>
  </si>
  <si>
    <t>Пособия, крмпенсации и иные социальные выплаты гражданам, кроме публичных нормативных обязательств</t>
  </si>
  <si>
    <t>Расходы на материальное обеспечение предоставления дополнительных мер социальной поддержки граждан, проживающих в одноэтажных жилых домах с централизованным отоплением в городе Карабаново (Социальное обеспечение и иные выплаты населению)</t>
  </si>
  <si>
    <t>Субсидии  на финансовое обеспечение муниципального задания на оказание муниципальных услуг (выполнение работ) МБУ "Спортивная школа имени Николая Тимофеевича Манина"</t>
  </si>
  <si>
    <t>241/224</t>
  </si>
  <si>
    <t>Федеральный проект "Спорт -норма жизни" национального проекта "Демография"</t>
  </si>
  <si>
    <t>160Р57200S</t>
  </si>
  <si>
    <t>Субсидии на иные цели, не связанные с финансовым выполнением муниципального задания МБУ "Спортивная школа имени Николая Тимофеевича Манина"</t>
  </si>
  <si>
    <t>Субсидии  на финансовое обеспечение муниципального задания на оказание муниципальных услуг (выполнение работ) МБУ "Спортивная школа имени Николая Тимофеевича Манина" (городские мероприятия)</t>
  </si>
  <si>
    <t>Расходы на организацию и проведение выборов</t>
  </si>
  <si>
    <t>999002В030</t>
  </si>
  <si>
    <t xml:space="preserve">НА 30.12.2021г </t>
  </si>
  <si>
    <t>Администрация города Карабаново Александровского района Владимирской области</t>
  </si>
  <si>
    <t>Глава администрации города Карабаново</t>
  </si>
  <si>
    <t>_____________________________И.В.Павлов</t>
  </si>
  <si>
    <t>"30" декабря 2021год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</si>
</sst>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[$-FC19]d\ mmmm\ yyyy\ &quot;г.&quot;"/>
    <numFmt numFmtId="176" formatCode="0.0000"/>
    <numFmt numFmtId="177" formatCode="0.0"/>
    <numFmt numFmtId="178" formatCode="0.00000"/>
    <numFmt numFmtId="179" formatCode="0.000000"/>
    <numFmt numFmtId="180" formatCode="#,##0.00&quot;р.&quot;"/>
    <numFmt numFmtId="181" formatCode="#,##0.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1" fontId="2" fillId="33" borderId="13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top" wrapText="1"/>
    </xf>
    <xf numFmtId="2" fontId="16" fillId="33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2" fontId="15" fillId="33" borderId="0" xfId="0" applyNumberFormat="1" applyFont="1" applyFill="1" applyBorder="1" applyAlignment="1">
      <alignment/>
    </xf>
    <xf numFmtId="2" fontId="1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/>
    </xf>
    <xf numFmtId="178" fontId="8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2" fontId="2" fillId="33" borderId="11" xfId="0" applyNumberFormat="1" applyFont="1" applyFill="1" applyBorder="1" applyAlignment="1">
      <alignment/>
    </xf>
    <xf numFmtId="174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left"/>
    </xf>
    <xf numFmtId="176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wrapText="1"/>
    </xf>
    <xf numFmtId="178" fontId="9" fillId="33" borderId="0" xfId="0" applyNumberFormat="1" applyFont="1" applyFill="1" applyAlignment="1">
      <alignment/>
    </xf>
    <xf numFmtId="1" fontId="2" fillId="33" borderId="11" xfId="0" applyNumberFormat="1" applyFont="1" applyFill="1" applyBorder="1" applyAlignment="1">
      <alignment horizontal="left"/>
    </xf>
    <xf numFmtId="2" fontId="15" fillId="33" borderId="0" xfId="0" applyNumberFormat="1" applyFont="1" applyFill="1" applyAlignment="1">
      <alignment horizontal="center"/>
    </xf>
    <xf numFmtId="178" fontId="2" fillId="33" borderId="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/>
    </xf>
    <xf numFmtId="176" fontId="2" fillId="33" borderId="11" xfId="0" applyNumberFormat="1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right"/>
    </xf>
    <xf numFmtId="174" fontId="2" fillId="33" borderId="11" xfId="0" applyNumberFormat="1" applyFont="1" applyFill="1" applyBorder="1" applyAlignment="1">
      <alignment horizontal="left"/>
    </xf>
    <xf numFmtId="174" fontId="2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178" fontId="7" fillId="33" borderId="11" xfId="0" applyNumberFormat="1" applyFont="1" applyFill="1" applyBorder="1" applyAlignment="1">
      <alignment horizontal="left"/>
    </xf>
    <xf numFmtId="174" fontId="7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176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left" vertical="center"/>
    </xf>
    <xf numFmtId="178" fontId="2" fillId="33" borderId="11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/>
    </xf>
    <xf numFmtId="179" fontId="2" fillId="33" borderId="11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/>
    </xf>
    <xf numFmtId="49" fontId="7" fillId="33" borderId="17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54" applyFont="1" applyFill="1" applyBorder="1" applyAlignment="1">
      <alignment horizontal="left" vertical="top" wrapText="1"/>
      <protection/>
    </xf>
    <xf numFmtId="49" fontId="8" fillId="33" borderId="11" xfId="0" applyNumberFormat="1" applyFont="1" applyFill="1" applyBorder="1" applyAlignment="1">
      <alignment horizontal="left"/>
    </xf>
    <xf numFmtId="49" fontId="10" fillId="33" borderId="11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178" fontId="7" fillId="33" borderId="11" xfId="0" applyNumberFormat="1" applyFont="1" applyFill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left" vertical="center"/>
    </xf>
    <xf numFmtId="178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2" fontId="15" fillId="33" borderId="0" xfId="0" applyNumberFormat="1" applyFont="1" applyFill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textRotation="90" wrapText="1"/>
    </xf>
    <xf numFmtId="0" fontId="14" fillId="33" borderId="26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textRotation="90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3"/>
  <sheetViews>
    <sheetView tabSelected="1" zoomScalePageLayoutView="0" workbookViewId="0" topLeftCell="C1">
      <selection activeCell="AO10" sqref="AO10"/>
    </sheetView>
  </sheetViews>
  <sheetFormatPr defaultColWidth="8.875" defaultRowHeight="12.75"/>
  <cols>
    <col min="1" max="1" width="45.25390625" style="8" customWidth="1"/>
    <col min="2" max="2" width="6.125" style="8" customWidth="1"/>
    <col min="3" max="3" width="5.25390625" style="8" customWidth="1"/>
    <col min="4" max="4" width="14.375" style="8" customWidth="1"/>
    <col min="5" max="5" width="5.00390625" style="8" customWidth="1"/>
    <col min="6" max="6" width="9.625" style="8" customWidth="1"/>
    <col min="7" max="7" width="15.375" style="12" customWidth="1"/>
    <col min="8" max="8" width="14.25390625" style="12" customWidth="1"/>
    <col min="9" max="9" width="15.25390625" style="12" customWidth="1"/>
    <col min="10" max="10" width="14.625" style="12" customWidth="1"/>
    <col min="11" max="11" width="16.875" style="12" customWidth="1"/>
    <col min="12" max="12" width="14.625" style="12" customWidth="1"/>
    <col min="13" max="13" width="16.875" style="12" customWidth="1"/>
    <col min="14" max="15" width="16.75390625" style="8" hidden="1" customWidth="1"/>
    <col min="16" max="18" width="0" style="8" hidden="1" customWidth="1"/>
    <col min="19" max="21" width="10.625" style="8" hidden="1" customWidth="1"/>
    <col min="22" max="25" width="0" style="8" hidden="1" customWidth="1"/>
    <col min="26" max="26" width="11.625" style="8" hidden="1" customWidth="1"/>
    <col min="27" max="27" width="0" style="8" hidden="1" customWidth="1"/>
    <col min="28" max="28" width="12.625" style="8" hidden="1" customWidth="1"/>
    <col min="29" max="29" width="0" style="8" hidden="1" customWidth="1"/>
    <col min="30" max="30" width="12.00390625" style="8" hidden="1" customWidth="1"/>
    <col min="31" max="31" width="11.125" style="8" hidden="1" customWidth="1"/>
    <col min="32" max="32" width="11.875" style="8" hidden="1" customWidth="1"/>
    <col min="33" max="35" width="0" style="8" hidden="1" customWidth="1"/>
    <col min="36" max="36" width="12.75390625" style="8" hidden="1" customWidth="1"/>
    <col min="37" max="37" width="11.625" style="8" hidden="1" customWidth="1"/>
    <col min="38" max="38" width="0" style="8" hidden="1" customWidth="1"/>
    <col min="39" max="39" width="10.625" style="8" bestFit="1" customWidth="1"/>
    <col min="40" max="16384" width="8.875" style="8" customWidth="1"/>
  </cols>
  <sheetData>
    <row r="1" spans="1:13" s="32" customFormat="1" ht="15.75">
      <c r="A1" s="1"/>
      <c r="B1" s="1"/>
      <c r="C1" s="1"/>
      <c r="D1" s="1"/>
      <c r="E1" s="1"/>
      <c r="F1" s="1"/>
      <c r="G1" s="2"/>
      <c r="H1" s="3"/>
      <c r="I1" s="23"/>
      <c r="J1" s="46"/>
      <c r="K1" s="110" t="s">
        <v>11</v>
      </c>
      <c r="L1" s="110"/>
      <c r="M1" s="110"/>
    </row>
    <row r="2" spans="1:13" s="32" customFormat="1" ht="15.75">
      <c r="A2" s="1"/>
      <c r="B2" s="1"/>
      <c r="C2" s="1"/>
      <c r="D2" s="1"/>
      <c r="E2" s="1"/>
      <c r="F2" s="1"/>
      <c r="G2" s="2"/>
      <c r="H2" s="3"/>
      <c r="I2" s="26"/>
      <c r="J2" s="26"/>
      <c r="K2" s="110" t="s">
        <v>459</v>
      </c>
      <c r="L2" s="110"/>
      <c r="M2" s="110"/>
    </row>
    <row r="3" spans="1:13" s="32" customFormat="1" ht="15.75">
      <c r="A3" s="1"/>
      <c r="B3" s="1"/>
      <c r="C3" s="1"/>
      <c r="D3" s="1"/>
      <c r="E3" s="1"/>
      <c r="F3" s="1"/>
      <c r="G3" s="2"/>
      <c r="H3" s="27"/>
      <c r="I3" s="28"/>
      <c r="J3" s="28"/>
      <c r="K3" s="111" t="s">
        <v>460</v>
      </c>
      <c r="L3" s="111"/>
      <c r="M3" s="111"/>
    </row>
    <row r="4" spans="1:13" s="32" customFormat="1" ht="15.75">
      <c r="A4" s="1"/>
      <c r="B4" s="1"/>
      <c r="C4" s="1"/>
      <c r="D4" s="1"/>
      <c r="E4" s="1"/>
      <c r="F4" s="1"/>
      <c r="G4" s="2"/>
      <c r="H4" s="3"/>
      <c r="I4" s="23"/>
      <c r="J4" s="46"/>
      <c r="K4" s="110" t="s">
        <v>461</v>
      </c>
      <c r="L4" s="110"/>
      <c r="M4" s="110"/>
    </row>
    <row r="5" spans="1:13" s="32" customFormat="1" ht="16.5" customHeight="1">
      <c r="A5" s="1"/>
      <c r="B5" s="1"/>
      <c r="C5" s="1"/>
      <c r="D5" s="1"/>
      <c r="E5" s="1"/>
      <c r="F5" s="1"/>
      <c r="G5" s="4"/>
      <c r="H5" s="4"/>
      <c r="I5" s="24"/>
      <c r="J5" s="25"/>
      <c r="K5" s="24"/>
      <c r="L5" s="5"/>
      <c r="M5" s="4"/>
    </row>
    <row r="6" spans="1:11" s="6" customFormat="1" ht="19.5" customHeight="1">
      <c r="A6" s="115" t="s">
        <v>10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s="6" customFormat="1" ht="18.75">
      <c r="A7" s="119" t="s">
        <v>458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s="7" customFormat="1" ht="12.75">
      <c r="A8" s="113" t="s">
        <v>12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s="6" customFormat="1" ht="15" customHeight="1">
      <c r="A9" s="114" t="s">
        <v>457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3" ht="11.25" customHeight="1">
      <c r="A10" s="112" t="s">
        <v>13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8"/>
      <c r="M10" s="8"/>
    </row>
    <row r="11" spans="1:13" ht="8.25" customHeight="1">
      <c r="A11" s="9"/>
      <c r="B11" s="9"/>
      <c r="C11" s="9"/>
      <c r="D11" s="9"/>
      <c r="E11" s="9"/>
      <c r="F11" s="9"/>
      <c r="G11" s="10"/>
      <c r="H11" s="10"/>
      <c r="I11" s="10"/>
      <c r="J11" s="11"/>
      <c r="K11" s="10"/>
      <c r="L11" s="11"/>
      <c r="M11" s="10"/>
    </row>
    <row r="12" spans="1:13" ht="13.5" thickBot="1">
      <c r="A12" s="9"/>
      <c r="B12" s="9"/>
      <c r="C12" s="9"/>
      <c r="D12" s="9"/>
      <c r="E12" s="9"/>
      <c r="F12" s="9"/>
      <c r="G12" s="10"/>
      <c r="H12" s="10"/>
      <c r="I12" s="10"/>
      <c r="K12" s="21" t="s">
        <v>8</v>
      </c>
      <c r="M12" s="8"/>
    </row>
    <row r="13" spans="1:13" s="7" customFormat="1" ht="19.5" customHeight="1">
      <c r="A13" s="120" t="s">
        <v>5</v>
      </c>
      <c r="B13" s="125" t="s">
        <v>4</v>
      </c>
      <c r="C13" s="126"/>
      <c r="D13" s="126"/>
      <c r="E13" s="126"/>
      <c r="F13" s="127"/>
      <c r="G13" s="116" t="s">
        <v>235</v>
      </c>
      <c r="H13" s="117"/>
      <c r="I13" s="117"/>
      <c r="J13" s="117"/>
      <c r="K13" s="117"/>
      <c r="L13" s="117"/>
      <c r="M13" s="118"/>
    </row>
    <row r="14" spans="1:15" s="7" customFormat="1" ht="19.5" customHeight="1">
      <c r="A14" s="121"/>
      <c r="B14" s="123" t="s">
        <v>233</v>
      </c>
      <c r="C14" s="108" t="s">
        <v>136</v>
      </c>
      <c r="D14" s="108" t="s">
        <v>6</v>
      </c>
      <c r="E14" s="108" t="s">
        <v>7</v>
      </c>
      <c r="F14" s="128" t="s">
        <v>139</v>
      </c>
      <c r="G14" s="105" t="s">
        <v>234</v>
      </c>
      <c r="H14" s="130" t="s">
        <v>236</v>
      </c>
      <c r="I14" s="131"/>
      <c r="J14" s="131"/>
      <c r="K14" s="132"/>
      <c r="L14" s="107" t="s">
        <v>312</v>
      </c>
      <c r="M14" s="107" t="s">
        <v>313</v>
      </c>
      <c r="N14" s="103" t="s">
        <v>275</v>
      </c>
      <c r="O14" s="103" t="s">
        <v>276</v>
      </c>
    </row>
    <row r="15" spans="1:15" s="7" customFormat="1" ht="75" customHeight="1">
      <c r="A15" s="122"/>
      <c r="B15" s="124"/>
      <c r="C15" s="109"/>
      <c r="D15" s="109"/>
      <c r="E15" s="109"/>
      <c r="F15" s="129"/>
      <c r="G15" s="106"/>
      <c r="H15" s="13" t="s">
        <v>0</v>
      </c>
      <c r="I15" s="13" t="s">
        <v>1</v>
      </c>
      <c r="J15" s="13" t="s">
        <v>2</v>
      </c>
      <c r="K15" s="13" t="s">
        <v>3</v>
      </c>
      <c r="L15" s="106"/>
      <c r="M15" s="106"/>
      <c r="N15" s="104"/>
      <c r="O15" s="104"/>
    </row>
    <row r="16" spans="1:15" s="7" customFormat="1" ht="13.5" thickBot="1">
      <c r="A16" s="14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33"/>
      <c r="O16" s="33"/>
    </row>
    <row r="17" spans="1:15" ht="6.75" customHeight="1">
      <c r="A17" s="16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31"/>
      <c r="O17" s="31"/>
    </row>
    <row r="18" spans="1:15" ht="14.25" customHeight="1">
      <c r="A18" s="42" t="s">
        <v>14</v>
      </c>
      <c r="B18" s="42"/>
      <c r="C18" s="42"/>
      <c r="D18" s="42"/>
      <c r="E18" s="42"/>
      <c r="F18" s="42"/>
      <c r="G18" s="59">
        <f>I18+J18+K18+H18</f>
        <v>17957.1826</v>
      </c>
      <c r="H18" s="56">
        <f aca="true" t="shared" si="0" ref="H18:M18">H19+H23+H35+H41</f>
        <v>3007.1096900000002</v>
      </c>
      <c r="I18" s="56">
        <f t="shared" si="0"/>
        <v>4576.77793</v>
      </c>
      <c r="J18" s="56">
        <f t="shared" si="0"/>
        <v>4026.33394</v>
      </c>
      <c r="K18" s="56">
        <f t="shared" si="0"/>
        <v>6346.961039999999</v>
      </c>
      <c r="L18" s="56">
        <f t="shared" si="0"/>
        <v>16802.73964</v>
      </c>
      <c r="M18" s="56">
        <f t="shared" si="0"/>
        <v>17320.21</v>
      </c>
      <c r="N18" s="31"/>
      <c r="O18" s="31"/>
    </row>
    <row r="19" spans="1:15" ht="17.25" customHeight="1">
      <c r="A19" s="43" t="s">
        <v>15</v>
      </c>
      <c r="B19" s="41"/>
      <c r="C19" s="41"/>
      <c r="D19" s="41"/>
      <c r="E19" s="41"/>
      <c r="F19" s="41">
        <v>210</v>
      </c>
      <c r="G19" s="50">
        <f aca="true" t="shared" si="1" ref="G19:M19">G20+G21+G22</f>
        <v>12322.146519999998</v>
      </c>
      <c r="H19" s="50">
        <f>H20+H21+H22</f>
        <v>2011.9957900000002</v>
      </c>
      <c r="I19" s="50">
        <f t="shared" si="1"/>
        <v>2923.08786</v>
      </c>
      <c r="J19" s="50">
        <f t="shared" si="1"/>
        <v>2973.71054</v>
      </c>
      <c r="K19" s="50">
        <f t="shared" si="1"/>
        <v>4413.35233</v>
      </c>
      <c r="L19" s="51">
        <f t="shared" si="1"/>
        <v>11998</v>
      </c>
      <c r="M19" s="51">
        <f t="shared" si="1"/>
        <v>11998</v>
      </c>
      <c r="N19" s="31"/>
      <c r="O19" s="31"/>
    </row>
    <row r="20" spans="1:38" ht="18.75" customHeight="1">
      <c r="A20" s="41" t="s">
        <v>16</v>
      </c>
      <c r="B20" s="41"/>
      <c r="C20" s="41"/>
      <c r="D20" s="41"/>
      <c r="E20" s="41"/>
      <c r="F20" s="41">
        <v>211</v>
      </c>
      <c r="G20" s="50">
        <f>H20+I20+J20+K20</f>
        <v>9489.047719999999</v>
      </c>
      <c r="H20" s="50">
        <f>H49+H56+H84+H128+H79</f>
        <v>1616.37652</v>
      </c>
      <c r="I20" s="50">
        <f aca="true" t="shared" si="2" ref="I20:AL20">I49+I56+I84+I128+I79</f>
        <v>2296.43138</v>
      </c>
      <c r="J20" s="50">
        <f t="shared" si="2"/>
        <v>2270.2958200000003</v>
      </c>
      <c r="K20" s="50">
        <f t="shared" si="2"/>
        <v>3305.9439999999995</v>
      </c>
      <c r="L20" s="51">
        <f t="shared" si="2"/>
        <v>9215.1</v>
      </c>
      <c r="M20" s="51">
        <f t="shared" si="2"/>
        <v>9215.1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  <c r="T20" s="18">
        <f t="shared" si="2"/>
        <v>0</v>
      </c>
      <c r="U20" s="18">
        <f t="shared" si="2"/>
        <v>0</v>
      </c>
      <c r="V20" s="18">
        <f t="shared" si="2"/>
        <v>0</v>
      </c>
      <c r="W20" s="18">
        <f t="shared" si="2"/>
        <v>0</v>
      </c>
      <c r="X20" s="18">
        <f t="shared" si="2"/>
        <v>0</v>
      </c>
      <c r="Y20" s="18">
        <f t="shared" si="2"/>
        <v>0</v>
      </c>
      <c r="Z20" s="18">
        <f t="shared" si="2"/>
        <v>0</v>
      </c>
      <c r="AA20" s="18">
        <f t="shared" si="2"/>
        <v>0</v>
      </c>
      <c r="AB20" s="18">
        <f t="shared" si="2"/>
        <v>0</v>
      </c>
      <c r="AC20" s="18">
        <f t="shared" si="2"/>
        <v>0</v>
      </c>
      <c r="AD20" s="18">
        <f t="shared" si="2"/>
        <v>0</v>
      </c>
      <c r="AE20" s="18">
        <f t="shared" si="2"/>
        <v>0</v>
      </c>
      <c r="AF20" s="18">
        <f t="shared" si="2"/>
        <v>0</v>
      </c>
      <c r="AG20" s="18">
        <f t="shared" si="2"/>
        <v>0</v>
      </c>
      <c r="AH20" s="18">
        <f t="shared" si="2"/>
        <v>0</v>
      </c>
      <c r="AI20" s="18">
        <f t="shared" si="2"/>
        <v>0</v>
      </c>
      <c r="AJ20" s="18">
        <f t="shared" si="2"/>
        <v>0</v>
      </c>
      <c r="AK20" s="18">
        <f t="shared" si="2"/>
        <v>0</v>
      </c>
      <c r="AL20" s="18">
        <f t="shared" si="2"/>
        <v>0</v>
      </c>
    </row>
    <row r="21" spans="1:15" ht="12.75" customHeight="1" hidden="1">
      <c r="A21" s="41" t="s">
        <v>17</v>
      </c>
      <c r="B21" s="41"/>
      <c r="C21" s="41"/>
      <c r="D21" s="41"/>
      <c r="E21" s="41"/>
      <c r="F21" s="41">
        <v>212</v>
      </c>
      <c r="G21" s="50">
        <f>H21+I21+J21+K21</f>
        <v>0</v>
      </c>
      <c r="H21" s="50">
        <f aca="true" t="shared" si="3" ref="H21:M21">H57+H85</f>
        <v>0</v>
      </c>
      <c r="I21" s="50">
        <f t="shared" si="3"/>
        <v>0</v>
      </c>
      <c r="J21" s="50">
        <f t="shared" si="3"/>
        <v>0</v>
      </c>
      <c r="K21" s="50">
        <f t="shared" si="3"/>
        <v>0</v>
      </c>
      <c r="L21" s="51">
        <f t="shared" si="3"/>
        <v>0</v>
      </c>
      <c r="M21" s="51">
        <f t="shared" si="3"/>
        <v>0</v>
      </c>
      <c r="N21" s="31"/>
      <c r="O21" s="31"/>
    </row>
    <row r="22" spans="1:15" ht="21" customHeight="1">
      <c r="A22" s="41" t="s">
        <v>18</v>
      </c>
      <c r="B22" s="41"/>
      <c r="C22" s="41"/>
      <c r="D22" s="41"/>
      <c r="E22" s="41"/>
      <c r="F22" s="41">
        <v>213</v>
      </c>
      <c r="G22" s="50">
        <f>H22+I22+J22+K22</f>
        <v>2833.0987999999998</v>
      </c>
      <c r="H22" s="50">
        <f aca="true" t="shared" si="4" ref="H22:M22">H51+H58+H86+H130+H80</f>
        <v>395.6192700000001</v>
      </c>
      <c r="I22" s="50">
        <f t="shared" si="4"/>
        <v>626.65648</v>
      </c>
      <c r="J22" s="50">
        <f t="shared" si="4"/>
        <v>703.41472</v>
      </c>
      <c r="K22" s="50">
        <f t="shared" si="4"/>
        <v>1107.40833</v>
      </c>
      <c r="L22" s="51">
        <f t="shared" si="4"/>
        <v>2782.8999999999996</v>
      </c>
      <c r="M22" s="51">
        <f t="shared" si="4"/>
        <v>2782.8999999999996</v>
      </c>
      <c r="N22" s="31"/>
      <c r="O22" s="31"/>
    </row>
    <row r="23" spans="1:15" ht="21.75" customHeight="1">
      <c r="A23" s="41" t="s">
        <v>97</v>
      </c>
      <c r="B23" s="41"/>
      <c r="C23" s="41"/>
      <c r="D23" s="41"/>
      <c r="E23" s="41"/>
      <c r="F23" s="41">
        <v>220</v>
      </c>
      <c r="G23" s="50">
        <f>H23+I23+J23+K23</f>
        <v>3773.1173900000003</v>
      </c>
      <c r="H23" s="50">
        <f aca="true" t="shared" si="5" ref="H23:M23">H33+H32+H26+H24+H25</f>
        <v>487.56239999999997</v>
      </c>
      <c r="I23" s="50">
        <f t="shared" si="5"/>
        <v>1221.72642</v>
      </c>
      <c r="J23" s="50">
        <f t="shared" si="5"/>
        <v>581.50855</v>
      </c>
      <c r="K23" s="50">
        <f t="shared" si="5"/>
        <v>1482.32002</v>
      </c>
      <c r="L23" s="51">
        <f t="shared" si="5"/>
        <v>3041.73964</v>
      </c>
      <c r="M23" s="51">
        <f t="shared" si="5"/>
        <v>3459.2099999999996</v>
      </c>
      <c r="N23" s="31"/>
      <c r="O23" s="31"/>
    </row>
    <row r="24" spans="1:15" ht="14.25" customHeight="1">
      <c r="A24" s="41" t="s">
        <v>20</v>
      </c>
      <c r="B24" s="41"/>
      <c r="C24" s="41"/>
      <c r="D24" s="41"/>
      <c r="E24" s="41"/>
      <c r="F24" s="41">
        <v>221</v>
      </c>
      <c r="G24" s="50">
        <f aca="true" t="shared" si="6" ref="G24:G31">H24+I24+J24+K24</f>
        <v>366.81394</v>
      </c>
      <c r="H24" s="50">
        <f aca="true" t="shared" si="7" ref="H24:M24">H60+H133</f>
        <v>85.97992</v>
      </c>
      <c r="I24" s="50">
        <f t="shared" si="7"/>
        <v>89.1023</v>
      </c>
      <c r="J24" s="50">
        <f t="shared" si="7"/>
        <v>78.52139</v>
      </c>
      <c r="K24" s="50">
        <f t="shared" si="7"/>
        <v>113.21033</v>
      </c>
      <c r="L24" s="51">
        <f t="shared" si="7"/>
        <v>317.9</v>
      </c>
      <c r="M24" s="51">
        <f t="shared" si="7"/>
        <v>330.6</v>
      </c>
      <c r="N24" s="31"/>
      <c r="O24" s="31"/>
    </row>
    <row r="25" spans="1:15" ht="14.25" customHeight="1" hidden="1">
      <c r="A25" s="41" t="s">
        <v>21</v>
      </c>
      <c r="B25" s="41"/>
      <c r="C25" s="41"/>
      <c r="D25" s="41"/>
      <c r="E25" s="41"/>
      <c r="F25" s="41">
        <v>222</v>
      </c>
      <c r="G25" s="50">
        <f t="shared" si="6"/>
        <v>0</v>
      </c>
      <c r="H25" s="50"/>
      <c r="I25" s="50"/>
      <c r="J25" s="50"/>
      <c r="K25" s="50"/>
      <c r="L25" s="51"/>
      <c r="M25" s="51"/>
      <c r="N25" s="31"/>
      <c r="O25" s="31"/>
    </row>
    <row r="26" spans="1:15" ht="18" customHeight="1">
      <c r="A26" s="41" t="s">
        <v>183</v>
      </c>
      <c r="B26" s="41"/>
      <c r="C26" s="41"/>
      <c r="D26" s="41"/>
      <c r="E26" s="41"/>
      <c r="F26" s="41">
        <v>223</v>
      </c>
      <c r="G26" s="50">
        <f t="shared" si="6"/>
        <v>634.31282</v>
      </c>
      <c r="H26" s="50">
        <f aca="true" t="shared" si="8" ref="H26:M26">H28+H29+H30+H31</f>
        <v>48.37032000000001</v>
      </c>
      <c r="I26" s="50">
        <f t="shared" si="8"/>
        <v>286.88877999999994</v>
      </c>
      <c r="J26" s="50">
        <f t="shared" si="8"/>
        <v>48.998590000000014</v>
      </c>
      <c r="K26" s="50">
        <f t="shared" si="8"/>
        <v>250.05513</v>
      </c>
      <c r="L26" s="51">
        <f t="shared" si="8"/>
        <v>790.1999999999999</v>
      </c>
      <c r="M26" s="51">
        <f t="shared" si="8"/>
        <v>822</v>
      </c>
      <c r="N26" s="31"/>
      <c r="O26" s="31"/>
    </row>
    <row r="27" spans="1:15" ht="12" customHeight="1">
      <c r="A27" s="41" t="s">
        <v>23</v>
      </c>
      <c r="B27" s="41"/>
      <c r="C27" s="41"/>
      <c r="D27" s="41"/>
      <c r="E27" s="41"/>
      <c r="F27" s="41"/>
      <c r="G27" s="50"/>
      <c r="H27" s="50"/>
      <c r="I27" s="50"/>
      <c r="J27" s="50"/>
      <c r="K27" s="50"/>
      <c r="L27" s="51"/>
      <c r="M27" s="51"/>
      <c r="N27" s="31"/>
      <c r="O27" s="31"/>
    </row>
    <row r="28" spans="1:15" ht="19.5" customHeight="1">
      <c r="A28" s="41" t="s">
        <v>184</v>
      </c>
      <c r="B28" s="41"/>
      <c r="C28" s="41"/>
      <c r="D28" s="41"/>
      <c r="E28" s="41"/>
      <c r="F28" s="41" t="s">
        <v>187</v>
      </c>
      <c r="G28" s="50">
        <f t="shared" si="6"/>
        <v>423.1410599999999</v>
      </c>
      <c r="H28" s="45">
        <f aca="true" t="shared" si="9" ref="H28:M28">H136+H146</f>
        <v>0</v>
      </c>
      <c r="I28" s="50">
        <f t="shared" si="9"/>
        <v>240.52943999999997</v>
      </c>
      <c r="J28" s="45">
        <f t="shared" si="9"/>
        <v>0</v>
      </c>
      <c r="K28" s="50">
        <f t="shared" si="9"/>
        <v>182.61162</v>
      </c>
      <c r="L28" s="51">
        <f t="shared" si="9"/>
        <v>472.1</v>
      </c>
      <c r="M28" s="51">
        <f t="shared" si="9"/>
        <v>491</v>
      </c>
      <c r="N28" s="31"/>
      <c r="O28" s="31"/>
    </row>
    <row r="29" spans="1:15" ht="21.75" customHeight="1">
      <c r="A29" s="41" t="s">
        <v>185</v>
      </c>
      <c r="B29" s="41"/>
      <c r="C29" s="41"/>
      <c r="D29" s="41"/>
      <c r="E29" s="41"/>
      <c r="F29" s="41" t="s">
        <v>188</v>
      </c>
      <c r="G29" s="50">
        <f t="shared" si="6"/>
        <v>204.64243000000002</v>
      </c>
      <c r="H29" s="50">
        <f aca="true" t="shared" si="10" ref="H29:M29">H137+H147+H163</f>
        <v>48.37032000000001</v>
      </c>
      <c r="I29" s="50">
        <f t="shared" si="10"/>
        <v>43.47184</v>
      </c>
      <c r="J29" s="50">
        <f t="shared" si="10"/>
        <v>46.85652000000001</v>
      </c>
      <c r="K29" s="50">
        <f t="shared" si="10"/>
        <v>65.94375</v>
      </c>
      <c r="L29" s="51">
        <f t="shared" si="10"/>
        <v>310.5</v>
      </c>
      <c r="M29" s="51">
        <f t="shared" si="10"/>
        <v>323.1</v>
      </c>
      <c r="N29" s="31"/>
      <c r="O29" s="31"/>
    </row>
    <row r="30" spans="1:15" ht="18" customHeight="1">
      <c r="A30" s="41" t="s">
        <v>186</v>
      </c>
      <c r="B30" s="41"/>
      <c r="C30" s="41"/>
      <c r="D30" s="41"/>
      <c r="E30" s="41"/>
      <c r="F30" s="41" t="s">
        <v>189</v>
      </c>
      <c r="G30" s="50">
        <f t="shared" si="6"/>
        <v>4.49589</v>
      </c>
      <c r="H30" s="45">
        <f aca="true" t="shared" si="11" ref="H30:M30">H138</f>
        <v>0</v>
      </c>
      <c r="I30" s="50">
        <f t="shared" si="11"/>
        <v>1.8722699999999999</v>
      </c>
      <c r="J30" s="50">
        <f t="shared" si="11"/>
        <v>1.12386</v>
      </c>
      <c r="K30" s="50">
        <f t="shared" si="11"/>
        <v>1.4997600000000002</v>
      </c>
      <c r="L30" s="51">
        <f t="shared" si="11"/>
        <v>5.3</v>
      </c>
      <c r="M30" s="51">
        <f t="shared" si="11"/>
        <v>5.6</v>
      </c>
      <c r="N30" s="31"/>
      <c r="O30" s="31"/>
    </row>
    <row r="31" spans="1:15" ht="19.5" customHeight="1">
      <c r="A31" s="41" t="s">
        <v>190</v>
      </c>
      <c r="B31" s="41"/>
      <c r="C31" s="41"/>
      <c r="D31" s="41"/>
      <c r="E31" s="41"/>
      <c r="F31" s="41" t="s">
        <v>191</v>
      </c>
      <c r="G31" s="50">
        <f t="shared" si="6"/>
        <v>2.03344</v>
      </c>
      <c r="H31" s="45">
        <f aca="true" t="shared" si="12" ref="H31:M31">H164</f>
        <v>0</v>
      </c>
      <c r="I31" s="50">
        <f t="shared" si="12"/>
        <v>1.01523</v>
      </c>
      <c r="J31" s="50">
        <f t="shared" si="12"/>
        <v>1.01821</v>
      </c>
      <c r="K31" s="45">
        <f t="shared" si="12"/>
        <v>0</v>
      </c>
      <c r="L31" s="51">
        <f t="shared" si="12"/>
        <v>2.3</v>
      </c>
      <c r="M31" s="51">
        <f t="shared" si="12"/>
        <v>2.3</v>
      </c>
      <c r="N31" s="31"/>
      <c r="O31" s="31"/>
    </row>
    <row r="32" spans="1:17" ht="17.25" customHeight="1">
      <c r="A32" s="41" t="s">
        <v>308</v>
      </c>
      <c r="B32" s="41"/>
      <c r="C32" s="41"/>
      <c r="D32" s="41"/>
      <c r="E32" s="41"/>
      <c r="F32" s="41">
        <v>225</v>
      </c>
      <c r="G32" s="50">
        <f>H32+I32+J32+K32</f>
        <v>267.68152</v>
      </c>
      <c r="H32" s="50">
        <f aca="true" t="shared" si="13" ref="H32:Q32">H141+H161+H61</f>
        <v>12.351479999999995</v>
      </c>
      <c r="I32" s="50">
        <f t="shared" si="13"/>
        <v>116.24560000000002</v>
      </c>
      <c r="J32" s="50">
        <f t="shared" si="13"/>
        <v>57.49722</v>
      </c>
      <c r="K32" s="50">
        <f t="shared" si="13"/>
        <v>81.58721999999997</v>
      </c>
      <c r="L32" s="51">
        <f t="shared" si="13"/>
        <v>481.4</v>
      </c>
      <c r="M32" s="51">
        <f t="shared" si="13"/>
        <v>479.7</v>
      </c>
      <c r="N32" s="35">
        <f t="shared" si="13"/>
        <v>0</v>
      </c>
      <c r="O32" s="35">
        <f t="shared" si="13"/>
        <v>0</v>
      </c>
      <c r="P32" s="35">
        <f t="shared" si="13"/>
        <v>0</v>
      </c>
      <c r="Q32" s="35">
        <f t="shared" si="13"/>
        <v>0</v>
      </c>
    </row>
    <row r="33" spans="1:15" ht="18.75" customHeight="1">
      <c r="A33" s="43" t="s">
        <v>305</v>
      </c>
      <c r="B33" s="41"/>
      <c r="C33" s="41"/>
      <c r="D33" s="41"/>
      <c r="E33" s="41"/>
      <c r="F33" s="41">
        <v>226</v>
      </c>
      <c r="G33" s="50">
        <f>H33+I33+J33+K33</f>
        <v>2504.30911</v>
      </c>
      <c r="H33" s="50">
        <f aca="true" t="shared" si="14" ref="H33:M33">H62+H118+H121+H149+H171</f>
        <v>340.86068</v>
      </c>
      <c r="I33" s="50">
        <f t="shared" si="14"/>
        <v>729.48974</v>
      </c>
      <c r="J33" s="50">
        <f t="shared" si="14"/>
        <v>396.49135</v>
      </c>
      <c r="K33" s="50">
        <f t="shared" si="14"/>
        <v>1037.4673400000001</v>
      </c>
      <c r="L33" s="51">
        <f t="shared" si="14"/>
        <v>1452.2396399999998</v>
      </c>
      <c r="M33" s="51">
        <f t="shared" si="14"/>
        <v>1826.9099999999999</v>
      </c>
      <c r="N33" s="31"/>
      <c r="O33" s="31"/>
    </row>
    <row r="34" spans="1:15" ht="12.75" customHeight="1" hidden="1">
      <c r="A34" s="41" t="s">
        <v>93</v>
      </c>
      <c r="B34" s="41"/>
      <c r="C34" s="41"/>
      <c r="D34" s="41"/>
      <c r="E34" s="41"/>
      <c r="F34" s="41">
        <v>262</v>
      </c>
      <c r="G34" s="50">
        <f>H34+I34+J34+K34</f>
        <v>0</v>
      </c>
      <c r="H34" s="50">
        <f>H89</f>
        <v>0</v>
      </c>
      <c r="I34" s="50">
        <f>I89</f>
        <v>0</v>
      </c>
      <c r="J34" s="50">
        <f>J89</f>
        <v>0</v>
      </c>
      <c r="K34" s="50"/>
      <c r="L34" s="51">
        <f>L89</f>
        <v>0</v>
      </c>
      <c r="M34" s="51"/>
      <c r="N34" s="31"/>
      <c r="O34" s="31"/>
    </row>
    <row r="35" spans="1:15" ht="18" customHeight="1">
      <c r="A35" s="43" t="s">
        <v>257</v>
      </c>
      <c r="B35" s="41"/>
      <c r="C35" s="41"/>
      <c r="D35" s="41"/>
      <c r="E35" s="41"/>
      <c r="F35" s="41">
        <v>290</v>
      </c>
      <c r="G35" s="50">
        <f>H35+I35+J35+K35</f>
        <v>1166.52886</v>
      </c>
      <c r="H35" s="50">
        <f aca="true" t="shared" si="15" ref="H35:M35">H115+H37+H38+H39+H40</f>
        <v>294.849</v>
      </c>
      <c r="I35" s="50">
        <f t="shared" si="15"/>
        <v>279.045</v>
      </c>
      <c r="J35" s="50">
        <f t="shared" si="15"/>
        <v>344.36537</v>
      </c>
      <c r="K35" s="50">
        <f t="shared" si="15"/>
        <v>248.26949</v>
      </c>
      <c r="L35" s="51">
        <f t="shared" si="15"/>
        <v>1243</v>
      </c>
      <c r="M35" s="51">
        <f t="shared" si="15"/>
        <v>1243</v>
      </c>
      <c r="N35" s="31"/>
      <c r="O35" s="31"/>
    </row>
    <row r="36" spans="1:15" ht="18" customHeight="1">
      <c r="A36" s="43" t="s">
        <v>23</v>
      </c>
      <c r="B36" s="41"/>
      <c r="C36" s="41"/>
      <c r="D36" s="41"/>
      <c r="E36" s="41"/>
      <c r="F36" s="41"/>
      <c r="G36" s="50"/>
      <c r="H36" s="50"/>
      <c r="I36" s="50"/>
      <c r="J36" s="50"/>
      <c r="K36" s="50"/>
      <c r="L36" s="51"/>
      <c r="M36" s="51"/>
      <c r="N36" s="31"/>
      <c r="O36" s="31"/>
    </row>
    <row r="37" spans="1:15" ht="18" customHeight="1">
      <c r="A37" s="43" t="s">
        <v>355</v>
      </c>
      <c r="B37" s="41"/>
      <c r="C37" s="41"/>
      <c r="D37" s="41"/>
      <c r="E37" s="41"/>
      <c r="F37" s="41">
        <v>291</v>
      </c>
      <c r="G37" s="50">
        <f>H37+I37+J37+K37</f>
        <v>1033.9279999999999</v>
      </c>
      <c r="H37" s="50">
        <f aca="true" t="shared" si="16" ref="H37:M37">H66+H69+H125+H157+H167+H169</f>
        <v>265.322</v>
      </c>
      <c r="I37" s="50">
        <f t="shared" si="16"/>
        <v>279.045</v>
      </c>
      <c r="J37" s="50">
        <f t="shared" si="16"/>
        <v>252.29600000000002</v>
      </c>
      <c r="K37" s="50">
        <f t="shared" si="16"/>
        <v>237.265</v>
      </c>
      <c r="L37" s="51">
        <f t="shared" si="16"/>
        <v>993</v>
      </c>
      <c r="M37" s="51">
        <f t="shared" si="16"/>
        <v>993</v>
      </c>
      <c r="N37" s="31"/>
      <c r="O37" s="31"/>
    </row>
    <row r="38" spans="1:15" ht="27.75" customHeight="1">
      <c r="A38" s="43" t="s">
        <v>343</v>
      </c>
      <c r="B38" s="41"/>
      <c r="C38" s="41"/>
      <c r="D38" s="41"/>
      <c r="E38" s="41"/>
      <c r="F38" s="41">
        <v>292</v>
      </c>
      <c r="G38" s="50">
        <f>H38+I38+J38+K38</f>
        <v>2.1948600000000003</v>
      </c>
      <c r="H38" s="45">
        <f aca="true" t="shared" si="17" ref="H38:M38">H74</f>
        <v>0</v>
      </c>
      <c r="I38" s="45">
        <f t="shared" si="17"/>
        <v>0</v>
      </c>
      <c r="J38" s="50">
        <f t="shared" si="17"/>
        <v>2.06937</v>
      </c>
      <c r="K38" s="50">
        <f t="shared" si="17"/>
        <v>0.12549</v>
      </c>
      <c r="L38" s="51">
        <f t="shared" si="17"/>
        <v>0</v>
      </c>
      <c r="M38" s="51">
        <f t="shared" si="17"/>
        <v>0</v>
      </c>
      <c r="N38" s="31"/>
      <c r="O38" s="31"/>
    </row>
    <row r="39" spans="1:38" ht="17.25" customHeight="1">
      <c r="A39" s="41" t="s">
        <v>259</v>
      </c>
      <c r="B39" s="41"/>
      <c r="C39" s="41"/>
      <c r="D39" s="41"/>
      <c r="E39" s="41"/>
      <c r="F39" s="41">
        <v>295</v>
      </c>
      <c r="G39" s="50">
        <f>H39+I39+J39+K39</f>
        <v>100.25</v>
      </c>
      <c r="H39" s="45">
        <f>H70+H75</f>
        <v>0</v>
      </c>
      <c r="I39" s="45">
        <f aca="true" t="shared" si="18" ref="I39:AL39">I70+I75</f>
        <v>0</v>
      </c>
      <c r="J39" s="51">
        <f t="shared" si="18"/>
        <v>90</v>
      </c>
      <c r="K39" s="51">
        <f t="shared" si="18"/>
        <v>10.25</v>
      </c>
      <c r="L39" s="51">
        <f t="shared" si="18"/>
        <v>0</v>
      </c>
      <c r="M39" s="51">
        <f t="shared" si="18"/>
        <v>0</v>
      </c>
      <c r="N39" s="18">
        <f t="shared" si="18"/>
        <v>0</v>
      </c>
      <c r="O39" s="18">
        <f t="shared" si="18"/>
        <v>0</v>
      </c>
      <c r="P39" s="18">
        <f t="shared" si="18"/>
        <v>0</v>
      </c>
      <c r="Q39" s="18">
        <f t="shared" si="18"/>
        <v>0</v>
      </c>
      <c r="R39" s="18">
        <f t="shared" si="18"/>
        <v>0</v>
      </c>
      <c r="S39" s="18">
        <f t="shared" si="18"/>
        <v>0</v>
      </c>
      <c r="T39" s="18">
        <f t="shared" si="18"/>
        <v>0</v>
      </c>
      <c r="U39" s="18">
        <f t="shared" si="18"/>
        <v>0</v>
      </c>
      <c r="V39" s="18">
        <f t="shared" si="18"/>
        <v>0</v>
      </c>
      <c r="W39" s="18">
        <f t="shared" si="18"/>
        <v>0</v>
      </c>
      <c r="X39" s="18">
        <f t="shared" si="18"/>
        <v>0</v>
      </c>
      <c r="Y39" s="18">
        <f t="shared" si="18"/>
        <v>0</v>
      </c>
      <c r="Z39" s="18">
        <f t="shared" si="18"/>
        <v>0</v>
      </c>
      <c r="AA39" s="18">
        <f t="shared" si="18"/>
        <v>0</v>
      </c>
      <c r="AB39" s="18">
        <f t="shared" si="18"/>
        <v>0</v>
      </c>
      <c r="AC39" s="18">
        <f t="shared" si="18"/>
        <v>0</v>
      </c>
      <c r="AD39" s="18">
        <f t="shared" si="18"/>
        <v>0</v>
      </c>
      <c r="AE39" s="18">
        <f t="shared" si="18"/>
        <v>0</v>
      </c>
      <c r="AF39" s="18">
        <f t="shared" si="18"/>
        <v>0</v>
      </c>
      <c r="AG39" s="18">
        <f t="shared" si="18"/>
        <v>0</v>
      </c>
      <c r="AH39" s="18">
        <f t="shared" si="18"/>
        <v>0</v>
      </c>
      <c r="AI39" s="18">
        <f t="shared" si="18"/>
        <v>0</v>
      </c>
      <c r="AJ39" s="18">
        <f t="shared" si="18"/>
        <v>0</v>
      </c>
      <c r="AK39" s="18">
        <f t="shared" si="18"/>
        <v>0</v>
      </c>
      <c r="AL39" s="18">
        <f t="shared" si="18"/>
        <v>0</v>
      </c>
    </row>
    <row r="40" spans="1:15" ht="21.75" customHeight="1">
      <c r="A40" s="41" t="s">
        <v>356</v>
      </c>
      <c r="B40" s="41"/>
      <c r="C40" s="41"/>
      <c r="D40" s="41"/>
      <c r="E40" s="41"/>
      <c r="F40" s="41">
        <v>297</v>
      </c>
      <c r="G40" s="50">
        <f>H40+I40+J40+K40</f>
        <v>30.156000000000002</v>
      </c>
      <c r="H40" s="50">
        <f>H71+H76</f>
        <v>29.527</v>
      </c>
      <c r="I40" s="45">
        <f>I71+I76</f>
        <v>0</v>
      </c>
      <c r="J40" s="45">
        <f>J71+J76</f>
        <v>0</v>
      </c>
      <c r="K40" s="50">
        <f>K71+K76</f>
        <v>0.629</v>
      </c>
      <c r="L40" s="51">
        <f>L71+L76</f>
        <v>0</v>
      </c>
      <c r="M40" s="51">
        <f>M71+M76</f>
        <v>0</v>
      </c>
      <c r="N40" s="31"/>
      <c r="O40" s="31"/>
    </row>
    <row r="41" spans="1:15" ht="13.5" customHeight="1">
      <c r="A41" s="43" t="s">
        <v>31</v>
      </c>
      <c r="B41" s="41"/>
      <c r="C41" s="41"/>
      <c r="D41" s="41"/>
      <c r="E41" s="41"/>
      <c r="F41" s="41">
        <v>300</v>
      </c>
      <c r="G41" s="50">
        <f aca="true" t="shared" si="19" ref="G41:M41">G42+G43</f>
        <v>695.38983</v>
      </c>
      <c r="H41" s="50">
        <f t="shared" si="19"/>
        <v>212.7025</v>
      </c>
      <c r="I41" s="50">
        <f t="shared" si="19"/>
        <v>152.91865</v>
      </c>
      <c r="J41" s="50">
        <f t="shared" si="19"/>
        <v>126.74947999999998</v>
      </c>
      <c r="K41" s="50">
        <f t="shared" si="19"/>
        <v>203.0192</v>
      </c>
      <c r="L41" s="51">
        <f t="shared" si="19"/>
        <v>520</v>
      </c>
      <c r="M41" s="51">
        <f t="shared" si="19"/>
        <v>620</v>
      </c>
      <c r="N41" s="31"/>
      <c r="O41" s="31"/>
    </row>
    <row r="42" spans="1:15" ht="12.75" customHeight="1">
      <c r="A42" s="43" t="s">
        <v>265</v>
      </c>
      <c r="B42" s="41"/>
      <c r="C42" s="41"/>
      <c r="D42" s="41"/>
      <c r="E42" s="41"/>
      <c r="F42" s="41">
        <v>310</v>
      </c>
      <c r="G42" s="51">
        <f>H42+I42+J42+K42</f>
        <v>112.77000000000001</v>
      </c>
      <c r="H42" s="51">
        <f aca="true" t="shared" si="20" ref="H42:M42">H63+H151</f>
        <v>51.72</v>
      </c>
      <c r="I42" s="51">
        <f t="shared" si="20"/>
        <v>5.25</v>
      </c>
      <c r="J42" s="51">
        <f t="shared" si="20"/>
        <v>0</v>
      </c>
      <c r="K42" s="51">
        <f t="shared" si="20"/>
        <v>55.800000000000004</v>
      </c>
      <c r="L42" s="51">
        <f t="shared" si="20"/>
        <v>0</v>
      </c>
      <c r="M42" s="51">
        <f t="shared" si="20"/>
        <v>100</v>
      </c>
      <c r="N42" s="31"/>
      <c r="O42" s="31"/>
    </row>
    <row r="43" spans="1:15" ht="18.75" customHeight="1">
      <c r="A43" s="43" t="s">
        <v>84</v>
      </c>
      <c r="B43" s="41"/>
      <c r="C43" s="41"/>
      <c r="D43" s="41"/>
      <c r="E43" s="41"/>
      <c r="F43" s="41">
        <v>340</v>
      </c>
      <c r="G43" s="50">
        <f>H43+I43+J43+K43</f>
        <v>582.61983</v>
      </c>
      <c r="H43" s="50">
        <f aca="true" t="shared" si="21" ref="H43:M43">H46+H45</f>
        <v>160.9825</v>
      </c>
      <c r="I43" s="50">
        <f t="shared" si="21"/>
        <v>147.66865</v>
      </c>
      <c r="J43" s="50">
        <f t="shared" si="21"/>
        <v>126.74947999999998</v>
      </c>
      <c r="K43" s="50">
        <f t="shared" si="21"/>
        <v>147.2192</v>
      </c>
      <c r="L43" s="51">
        <f t="shared" si="21"/>
        <v>520</v>
      </c>
      <c r="M43" s="51">
        <f t="shared" si="21"/>
        <v>520</v>
      </c>
      <c r="N43" s="31"/>
      <c r="O43" s="31"/>
    </row>
    <row r="44" spans="1:15" ht="18" customHeight="1">
      <c r="A44" s="43" t="s">
        <v>23</v>
      </c>
      <c r="B44" s="41"/>
      <c r="C44" s="41"/>
      <c r="D44" s="41"/>
      <c r="E44" s="41"/>
      <c r="F44" s="41"/>
      <c r="G44" s="50"/>
      <c r="H44" s="50"/>
      <c r="I44" s="50"/>
      <c r="J44" s="50"/>
      <c r="K44" s="50"/>
      <c r="L44" s="50"/>
      <c r="M44" s="50"/>
      <c r="N44" s="31"/>
      <c r="O44" s="31"/>
    </row>
    <row r="45" spans="1:15" ht="12.75" customHeight="1">
      <c r="A45" s="43" t="s">
        <v>34</v>
      </c>
      <c r="B45" s="41"/>
      <c r="C45" s="41"/>
      <c r="D45" s="41"/>
      <c r="E45" s="41"/>
      <c r="F45" s="41" t="s">
        <v>348</v>
      </c>
      <c r="G45" s="50">
        <f>H45+I45+J45+K45</f>
        <v>83.4322</v>
      </c>
      <c r="H45" s="45">
        <f aca="true" t="shared" si="22" ref="H45:M45">H153</f>
        <v>0</v>
      </c>
      <c r="I45" s="45">
        <f t="shared" si="22"/>
        <v>0</v>
      </c>
      <c r="J45" s="50">
        <f t="shared" si="22"/>
        <v>13.606</v>
      </c>
      <c r="K45" s="50">
        <f t="shared" si="22"/>
        <v>69.8262</v>
      </c>
      <c r="L45" s="45">
        <f t="shared" si="22"/>
        <v>0</v>
      </c>
      <c r="M45" s="45">
        <f t="shared" si="22"/>
        <v>0</v>
      </c>
      <c r="N45" s="31"/>
      <c r="O45" s="31"/>
    </row>
    <row r="46" spans="1:30" ht="18" customHeight="1">
      <c r="A46" s="43" t="s">
        <v>35</v>
      </c>
      <c r="B46" s="41"/>
      <c r="C46" s="41"/>
      <c r="D46" s="41"/>
      <c r="E46" s="41"/>
      <c r="F46" s="41" t="s">
        <v>340</v>
      </c>
      <c r="G46" s="50">
        <f>H46+I46+J46+K46</f>
        <v>499.18763</v>
      </c>
      <c r="H46" s="50">
        <f aca="true" t="shared" si="23" ref="H46:M46">H96+H155+H64</f>
        <v>160.9825</v>
      </c>
      <c r="I46" s="50">
        <f t="shared" si="23"/>
        <v>147.66865</v>
      </c>
      <c r="J46" s="50">
        <f t="shared" si="23"/>
        <v>113.14347999999998</v>
      </c>
      <c r="K46" s="50">
        <f t="shared" si="23"/>
        <v>77.39300000000001</v>
      </c>
      <c r="L46" s="51">
        <f t="shared" si="23"/>
        <v>520</v>
      </c>
      <c r="M46" s="51">
        <f t="shared" si="23"/>
        <v>520</v>
      </c>
      <c r="N46" s="31"/>
      <c r="O46" s="31"/>
      <c r="AD46" s="12"/>
    </row>
    <row r="47" spans="1:15" ht="13.5" customHeight="1" hidden="1">
      <c r="A47" s="62" t="s">
        <v>36</v>
      </c>
      <c r="B47" s="55" t="s">
        <v>76</v>
      </c>
      <c r="C47" s="55" t="s">
        <v>37</v>
      </c>
      <c r="D47" s="55" t="s">
        <v>137</v>
      </c>
      <c r="E47" s="55" t="s">
        <v>127</v>
      </c>
      <c r="F47" s="42"/>
      <c r="G47" s="56">
        <f aca="true" t="shared" si="24" ref="G47:M47">G48</f>
        <v>0</v>
      </c>
      <c r="H47" s="56">
        <f t="shared" si="24"/>
        <v>0</v>
      </c>
      <c r="I47" s="56">
        <f t="shared" si="24"/>
        <v>0</v>
      </c>
      <c r="J47" s="56">
        <f t="shared" si="24"/>
        <v>0</v>
      </c>
      <c r="K47" s="56">
        <f t="shared" si="24"/>
        <v>0</v>
      </c>
      <c r="L47" s="58">
        <f t="shared" si="24"/>
        <v>0</v>
      </c>
      <c r="M47" s="58">
        <f t="shared" si="24"/>
        <v>0</v>
      </c>
      <c r="N47" s="31"/>
      <c r="O47" s="31"/>
    </row>
    <row r="48" spans="1:15" ht="12.75" customHeight="1" hidden="1">
      <c r="A48" s="43" t="s">
        <v>15</v>
      </c>
      <c r="B48" s="48" t="s">
        <v>76</v>
      </c>
      <c r="C48" s="48" t="s">
        <v>37</v>
      </c>
      <c r="D48" s="48" t="s">
        <v>137</v>
      </c>
      <c r="E48" s="48" t="s">
        <v>88</v>
      </c>
      <c r="F48" s="48" t="s">
        <v>39</v>
      </c>
      <c r="G48" s="50">
        <f aca="true" t="shared" si="25" ref="G48:M48">G49+G51</f>
        <v>0</v>
      </c>
      <c r="H48" s="50">
        <f t="shared" si="25"/>
        <v>0</v>
      </c>
      <c r="I48" s="50">
        <f t="shared" si="25"/>
        <v>0</v>
      </c>
      <c r="J48" s="50">
        <f t="shared" si="25"/>
        <v>0</v>
      </c>
      <c r="K48" s="50">
        <f t="shared" si="25"/>
        <v>0</v>
      </c>
      <c r="L48" s="51">
        <f t="shared" si="25"/>
        <v>0</v>
      </c>
      <c r="M48" s="51">
        <f t="shared" si="25"/>
        <v>0</v>
      </c>
      <c r="N48" s="31"/>
      <c r="O48" s="31"/>
    </row>
    <row r="49" spans="1:15" ht="12.75" customHeight="1" hidden="1">
      <c r="A49" s="41" t="s">
        <v>16</v>
      </c>
      <c r="B49" s="48" t="s">
        <v>76</v>
      </c>
      <c r="C49" s="48" t="s">
        <v>37</v>
      </c>
      <c r="D49" s="48" t="s">
        <v>137</v>
      </c>
      <c r="E49" s="48" t="s">
        <v>89</v>
      </c>
      <c r="F49" s="48" t="s">
        <v>40</v>
      </c>
      <c r="G49" s="50">
        <f>H49+I49+J49+K49</f>
        <v>0</v>
      </c>
      <c r="H49" s="50"/>
      <c r="I49" s="50"/>
      <c r="J49" s="50"/>
      <c r="K49" s="50"/>
      <c r="L49" s="51"/>
      <c r="M49" s="51"/>
      <c r="N49" s="31"/>
      <c r="O49" s="31"/>
    </row>
    <row r="50" spans="1:15" ht="14.25" customHeight="1" hidden="1">
      <c r="A50" s="41" t="s">
        <v>17</v>
      </c>
      <c r="B50" s="48" t="s">
        <v>76</v>
      </c>
      <c r="C50" s="48" t="s">
        <v>37</v>
      </c>
      <c r="D50" s="48" t="s">
        <v>137</v>
      </c>
      <c r="E50" s="48" t="s">
        <v>94</v>
      </c>
      <c r="F50" s="48" t="s">
        <v>41</v>
      </c>
      <c r="G50" s="50"/>
      <c r="H50" s="50"/>
      <c r="I50" s="50"/>
      <c r="J50" s="50"/>
      <c r="K50" s="50"/>
      <c r="L50" s="51"/>
      <c r="M50" s="51"/>
      <c r="N50" s="31"/>
      <c r="O50" s="31"/>
    </row>
    <row r="51" spans="1:15" ht="12" customHeight="1" hidden="1">
      <c r="A51" s="41" t="s">
        <v>18</v>
      </c>
      <c r="B51" s="48" t="s">
        <v>76</v>
      </c>
      <c r="C51" s="48" t="s">
        <v>37</v>
      </c>
      <c r="D51" s="48" t="s">
        <v>137</v>
      </c>
      <c r="E51" s="48" t="s">
        <v>204</v>
      </c>
      <c r="F51" s="48" t="s">
        <v>42</v>
      </c>
      <c r="G51" s="50">
        <f aca="true" t="shared" si="26" ref="G51:G96">H51+I51+J51+K51</f>
        <v>0</v>
      </c>
      <c r="H51" s="50"/>
      <c r="I51" s="50"/>
      <c r="J51" s="50"/>
      <c r="K51" s="50"/>
      <c r="L51" s="51"/>
      <c r="M51" s="51"/>
      <c r="N51" s="31"/>
      <c r="O51" s="31"/>
    </row>
    <row r="52" spans="1:15" ht="30.75" customHeight="1">
      <c r="A52" s="62" t="s">
        <v>302</v>
      </c>
      <c r="B52" s="55" t="s">
        <v>76</v>
      </c>
      <c r="C52" s="55" t="s">
        <v>43</v>
      </c>
      <c r="D52" s="55" t="s">
        <v>151</v>
      </c>
      <c r="E52" s="55" t="s">
        <v>59</v>
      </c>
      <c r="F52" s="55"/>
      <c r="G52" s="56">
        <f t="shared" si="26"/>
        <v>3213.44102</v>
      </c>
      <c r="H52" s="56">
        <f aca="true" t="shared" si="27" ref="H52:M52">H53+H77</f>
        <v>558.37987</v>
      </c>
      <c r="I52" s="56">
        <f t="shared" si="27"/>
        <v>821.61474</v>
      </c>
      <c r="J52" s="56">
        <f t="shared" si="27"/>
        <v>908.41355</v>
      </c>
      <c r="K52" s="56">
        <f t="shared" si="27"/>
        <v>925.03286</v>
      </c>
      <c r="L52" s="58">
        <f t="shared" si="27"/>
        <v>2877.8</v>
      </c>
      <c r="M52" s="58">
        <f t="shared" si="27"/>
        <v>2877.8</v>
      </c>
      <c r="N52" s="31"/>
      <c r="O52" s="31"/>
    </row>
    <row r="53" spans="1:36" ht="19.5" customHeight="1">
      <c r="A53" s="62" t="s">
        <v>134</v>
      </c>
      <c r="B53" s="48" t="s">
        <v>76</v>
      </c>
      <c r="C53" s="48" t="s">
        <v>43</v>
      </c>
      <c r="D53" s="48" t="s">
        <v>249</v>
      </c>
      <c r="E53" s="55" t="s">
        <v>59</v>
      </c>
      <c r="F53" s="55"/>
      <c r="G53" s="56">
        <f>H53+I53+J53+K53</f>
        <v>2111.93037</v>
      </c>
      <c r="H53" s="56">
        <f aca="true" t="shared" si="28" ref="H53:M53">H54+H59+H65</f>
        <v>444.33394</v>
      </c>
      <c r="I53" s="56">
        <f t="shared" si="28"/>
        <v>575.8185199999999</v>
      </c>
      <c r="J53" s="56">
        <f t="shared" si="28"/>
        <v>593.52384</v>
      </c>
      <c r="K53" s="56">
        <f t="shared" si="28"/>
        <v>498.25407000000007</v>
      </c>
      <c r="L53" s="58">
        <f t="shared" si="28"/>
        <v>1721.8</v>
      </c>
      <c r="M53" s="58">
        <f t="shared" si="28"/>
        <v>1721.8</v>
      </c>
      <c r="N53" s="31"/>
      <c r="O53" s="31"/>
      <c r="AJ53" s="12"/>
    </row>
    <row r="54" spans="1:15" ht="32.25" customHeight="1">
      <c r="A54" s="62" t="s">
        <v>303</v>
      </c>
      <c r="B54" s="55" t="s">
        <v>76</v>
      </c>
      <c r="C54" s="55" t="s">
        <v>43</v>
      </c>
      <c r="D54" s="55" t="s">
        <v>137</v>
      </c>
      <c r="E54" s="55" t="s">
        <v>127</v>
      </c>
      <c r="F54" s="55"/>
      <c r="G54" s="50">
        <f>H54+I54+J54+K54</f>
        <v>1533.7878799999999</v>
      </c>
      <c r="H54" s="50">
        <f aca="true" t="shared" si="29" ref="H54:M54">H55</f>
        <v>315.21044</v>
      </c>
      <c r="I54" s="50">
        <f t="shared" si="29"/>
        <v>373.12187</v>
      </c>
      <c r="J54" s="50">
        <f t="shared" si="29"/>
        <v>405.87899</v>
      </c>
      <c r="K54" s="50">
        <f t="shared" si="29"/>
        <v>439.57658000000004</v>
      </c>
      <c r="L54" s="51">
        <f t="shared" si="29"/>
        <v>1382.8</v>
      </c>
      <c r="M54" s="51">
        <f t="shared" si="29"/>
        <v>1382.8</v>
      </c>
      <c r="N54" s="31"/>
      <c r="O54" s="31"/>
    </row>
    <row r="55" spans="1:15" ht="17.25" customHeight="1">
      <c r="A55" s="43" t="s">
        <v>15</v>
      </c>
      <c r="B55" s="48" t="s">
        <v>76</v>
      </c>
      <c r="C55" s="48" t="s">
        <v>43</v>
      </c>
      <c r="D55" s="48" t="s">
        <v>137</v>
      </c>
      <c r="E55" s="48" t="s">
        <v>88</v>
      </c>
      <c r="F55" s="48" t="s">
        <v>39</v>
      </c>
      <c r="G55" s="50">
        <f t="shared" si="26"/>
        <v>1533.7878799999999</v>
      </c>
      <c r="H55" s="50">
        <f>H56+H58</f>
        <v>315.21044</v>
      </c>
      <c r="I55" s="50">
        <f>I56+I57+I58</f>
        <v>373.12187</v>
      </c>
      <c r="J55" s="50">
        <f>J56+J57+J58</f>
        <v>405.87899</v>
      </c>
      <c r="K55" s="50">
        <f>K56+K57+K58</f>
        <v>439.57658000000004</v>
      </c>
      <c r="L55" s="51">
        <f>L56+L57+L58</f>
        <v>1382.8</v>
      </c>
      <c r="M55" s="51">
        <f>M56+M57+M58</f>
        <v>1382.8</v>
      </c>
      <c r="N55" s="31"/>
      <c r="O55" s="31"/>
    </row>
    <row r="56" spans="1:15" ht="17.25" customHeight="1">
      <c r="A56" s="41" t="s">
        <v>16</v>
      </c>
      <c r="B56" s="48" t="s">
        <v>76</v>
      </c>
      <c r="C56" s="48" t="s">
        <v>43</v>
      </c>
      <c r="D56" s="48" t="s">
        <v>137</v>
      </c>
      <c r="E56" s="48" t="s">
        <v>89</v>
      </c>
      <c r="F56" s="48" t="s">
        <v>40</v>
      </c>
      <c r="G56" s="50">
        <f t="shared" si="26"/>
        <v>1179.87274</v>
      </c>
      <c r="H56" s="50">
        <v>259.14308</v>
      </c>
      <c r="I56" s="49">
        <v>290.1431</v>
      </c>
      <c r="J56" s="50">
        <v>301.66834</v>
      </c>
      <c r="K56" s="50">
        <v>328.91822</v>
      </c>
      <c r="L56" s="51">
        <v>1062.1</v>
      </c>
      <c r="M56" s="51">
        <v>1062.1</v>
      </c>
      <c r="N56" s="31"/>
      <c r="O56" s="31"/>
    </row>
    <row r="57" spans="1:15" ht="12.75" customHeight="1" hidden="1">
      <c r="A57" s="41" t="s">
        <v>17</v>
      </c>
      <c r="B57" s="48" t="s">
        <v>76</v>
      </c>
      <c r="C57" s="48" t="s">
        <v>43</v>
      </c>
      <c r="D57" s="48" t="s">
        <v>137</v>
      </c>
      <c r="E57" s="48" t="s">
        <v>94</v>
      </c>
      <c r="F57" s="48" t="s">
        <v>41</v>
      </c>
      <c r="G57" s="50">
        <f t="shared" si="26"/>
        <v>0</v>
      </c>
      <c r="H57" s="50"/>
      <c r="I57" s="50"/>
      <c r="J57" s="50"/>
      <c r="K57" s="50"/>
      <c r="L57" s="51"/>
      <c r="M57" s="51"/>
      <c r="N57" s="31"/>
      <c r="O57" s="31"/>
    </row>
    <row r="58" spans="1:15" ht="18" customHeight="1">
      <c r="A58" s="41" t="s">
        <v>18</v>
      </c>
      <c r="B58" s="48" t="s">
        <v>76</v>
      </c>
      <c r="C58" s="48" t="s">
        <v>43</v>
      </c>
      <c r="D58" s="48" t="s">
        <v>137</v>
      </c>
      <c r="E58" s="48" t="s">
        <v>204</v>
      </c>
      <c r="F58" s="48" t="s">
        <v>42</v>
      </c>
      <c r="G58" s="50">
        <f t="shared" si="26"/>
        <v>353.91514</v>
      </c>
      <c r="H58" s="50">
        <v>56.06736</v>
      </c>
      <c r="I58" s="50">
        <v>82.97877</v>
      </c>
      <c r="J58" s="50">
        <v>104.21065</v>
      </c>
      <c r="K58" s="50">
        <v>110.65836</v>
      </c>
      <c r="L58" s="51">
        <v>320.7</v>
      </c>
      <c r="M58" s="51">
        <v>320.7</v>
      </c>
      <c r="N58" s="31"/>
      <c r="O58" s="31"/>
    </row>
    <row r="59" spans="1:15" ht="45" customHeight="1">
      <c r="A59" s="43" t="s">
        <v>301</v>
      </c>
      <c r="B59" s="48" t="s">
        <v>76</v>
      </c>
      <c r="C59" s="48" t="s">
        <v>43</v>
      </c>
      <c r="D59" s="48" t="s">
        <v>140</v>
      </c>
      <c r="E59" s="55" t="s">
        <v>125</v>
      </c>
      <c r="F59" s="48"/>
      <c r="G59" s="50">
        <f t="shared" si="26"/>
        <v>379.50763</v>
      </c>
      <c r="H59" s="49">
        <f aca="true" t="shared" si="30" ref="H59:M59">H60+H61+H62+H64+H63</f>
        <v>75.27250000000001</v>
      </c>
      <c r="I59" s="50">
        <f t="shared" si="30"/>
        <v>164.71965</v>
      </c>
      <c r="J59" s="50">
        <f t="shared" si="30"/>
        <v>84.27547999999999</v>
      </c>
      <c r="K59" s="51">
        <f t="shared" si="30"/>
        <v>55.24</v>
      </c>
      <c r="L59" s="51">
        <f t="shared" si="30"/>
        <v>310</v>
      </c>
      <c r="M59" s="51">
        <f t="shared" si="30"/>
        <v>310</v>
      </c>
      <c r="N59" s="31"/>
      <c r="O59" s="31"/>
    </row>
    <row r="60" spans="1:15" ht="13.5" customHeight="1">
      <c r="A60" s="41" t="s">
        <v>20</v>
      </c>
      <c r="B60" s="48" t="s">
        <v>76</v>
      </c>
      <c r="C60" s="48" t="s">
        <v>43</v>
      </c>
      <c r="D60" s="48" t="s">
        <v>140</v>
      </c>
      <c r="E60" s="48" t="s">
        <v>95</v>
      </c>
      <c r="F60" s="48" t="s">
        <v>45</v>
      </c>
      <c r="G60" s="51">
        <f aca="true" t="shared" si="31" ref="G60:G78">H60+I60+J60+K60</f>
        <v>9</v>
      </c>
      <c r="H60" s="45">
        <v>0</v>
      </c>
      <c r="I60" s="51">
        <v>3</v>
      </c>
      <c r="J60" s="51">
        <v>3</v>
      </c>
      <c r="K60" s="51">
        <v>3</v>
      </c>
      <c r="L60" s="45">
        <v>0</v>
      </c>
      <c r="M60" s="45">
        <v>0</v>
      </c>
      <c r="N60" s="31"/>
      <c r="O60" s="31"/>
    </row>
    <row r="61" spans="1:15" ht="13.5" customHeight="1">
      <c r="A61" s="41" t="s">
        <v>135</v>
      </c>
      <c r="B61" s="48" t="s">
        <v>76</v>
      </c>
      <c r="C61" s="48" t="s">
        <v>43</v>
      </c>
      <c r="D61" s="48" t="s">
        <v>140</v>
      </c>
      <c r="E61" s="48" t="s">
        <v>95</v>
      </c>
      <c r="F61" s="48" t="s">
        <v>48</v>
      </c>
      <c r="G61" s="53">
        <f t="shared" si="31"/>
        <v>109.685</v>
      </c>
      <c r="H61" s="45">
        <v>0</v>
      </c>
      <c r="I61" s="53">
        <v>79.495</v>
      </c>
      <c r="J61" s="51">
        <v>30.19</v>
      </c>
      <c r="K61" s="45">
        <f>5-4.9334-0.0666</f>
        <v>2.0816681711721685E-16</v>
      </c>
      <c r="L61" s="45">
        <v>0</v>
      </c>
      <c r="M61" s="45">
        <v>0</v>
      </c>
      <c r="N61" s="31"/>
      <c r="O61" s="31"/>
    </row>
    <row r="62" spans="1:15" ht="12.75" customHeight="1">
      <c r="A62" s="41" t="s">
        <v>28</v>
      </c>
      <c r="B62" s="48" t="s">
        <v>76</v>
      </c>
      <c r="C62" s="48" t="s">
        <v>43</v>
      </c>
      <c r="D62" s="48" t="s">
        <v>140</v>
      </c>
      <c r="E62" s="48" t="s">
        <v>95</v>
      </c>
      <c r="F62" s="48" t="s">
        <v>49</v>
      </c>
      <c r="G62" s="51">
        <f t="shared" si="31"/>
        <v>8.15</v>
      </c>
      <c r="H62" s="51">
        <v>4.15</v>
      </c>
      <c r="I62" s="51">
        <v>4</v>
      </c>
      <c r="J62" s="45">
        <v>0</v>
      </c>
      <c r="K62" s="45">
        <v>0</v>
      </c>
      <c r="L62" s="45">
        <v>0</v>
      </c>
      <c r="M62" s="45">
        <v>0</v>
      </c>
      <c r="N62" s="31"/>
      <c r="O62" s="31"/>
    </row>
    <row r="63" spans="1:15" ht="12.75" customHeight="1">
      <c r="A63" s="43" t="s">
        <v>265</v>
      </c>
      <c r="B63" s="48" t="s">
        <v>76</v>
      </c>
      <c r="C63" s="48" t="s">
        <v>43</v>
      </c>
      <c r="D63" s="48" t="s">
        <v>140</v>
      </c>
      <c r="E63" s="48" t="s">
        <v>95</v>
      </c>
      <c r="F63" s="48" t="s">
        <v>53</v>
      </c>
      <c r="G63" s="51">
        <f t="shared" si="31"/>
        <v>49.45</v>
      </c>
      <c r="H63" s="45">
        <v>0</v>
      </c>
      <c r="I63" s="45">
        <v>0</v>
      </c>
      <c r="J63" s="45">
        <v>0</v>
      </c>
      <c r="K63" s="51">
        <v>49.45</v>
      </c>
      <c r="L63" s="45">
        <v>0</v>
      </c>
      <c r="M63" s="45">
        <v>0</v>
      </c>
      <c r="N63" s="31"/>
      <c r="O63" s="31"/>
    </row>
    <row r="64" spans="1:15" ht="13.5" customHeight="1">
      <c r="A64" s="43" t="s">
        <v>84</v>
      </c>
      <c r="B64" s="48" t="s">
        <v>76</v>
      </c>
      <c r="C64" s="48" t="s">
        <v>43</v>
      </c>
      <c r="D64" s="48" t="s">
        <v>140</v>
      </c>
      <c r="E64" s="48" t="s">
        <v>95</v>
      </c>
      <c r="F64" s="48" t="s">
        <v>340</v>
      </c>
      <c r="G64" s="50">
        <f t="shared" si="31"/>
        <v>203.22262999999998</v>
      </c>
      <c r="H64" s="49">
        <v>71.1225</v>
      </c>
      <c r="I64" s="50">
        <v>78.22465</v>
      </c>
      <c r="J64" s="50">
        <v>51.08548</v>
      </c>
      <c r="K64" s="51">
        <v>2.79</v>
      </c>
      <c r="L64" s="51">
        <v>310</v>
      </c>
      <c r="M64" s="51">
        <v>310</v>
      </c>
      <c r="N64" s="31"/>
      <c r="O64" s="31"/>
    </row>
    <row r="65" spans="1:15" ht="45" customHeight="1">
      <c r="A65" s="43" t="s">
        <v>304</v>
      </c>
      <c r="B65" s="48" t="s">
        <v>76</v>
      </c>
      <c r="C65" s="48" t="s">
        <v>43</v>
      </c>
      <c r="D65" s="48" t="s">
        <v>140</v>
      </c>
      <c r="E65" s="55" t="s">
        <v>128</v>
      </c>
      <c r="F65" s="48"/>
      <c r="G65" s="50">
        <f t="shared" si="31"/>
        <v>198.63486</v>
      </c>
      <c r="H65" s="53">
        <f aca="true" t="shared" si="32" ref="H65:M65">H66+H67+H72</f>
        <v>53.851</v>
      </c>
      <c r="I65" s="53">
        <f t="shared" si="32"/>
        <v>37.977</v>
      </c>
      <c r="J65" s="50">
        <f t="shared" si="32"/>
        <v>103.36937</v>
      </c>
      <c r="K65" s="50">
        <f t="shared" si="32"/>
        <v>3.43749</v>
      </c>
      <c r="L65" s="51">
        <f t="shared" si="32"/>
        <v>29</v>
      </c>
      <c r="M65" s="51">
        <f t="shared" si="32"/>
        <v>29</v>
      </c>
      <c r="N65" s="31"/>
      <c r="O65" s="31"/>
    </row>
    <row r="66" spans="1:15" ht="21.75" customHeight="1">
      <c r="A66" s="43" t="s">
        <v>255</v>
      </c>
      <c r="B66" s="48" t="s">
        <v>76</v>
      </c>
      <c r="C66" s="48" t="s">
        <v>43</v>
      </c>
      <c r="D66" s="48" t="s">
        <v>140</v>
      </c>
      <c r="E66" s="48" t="s">
        <v>104</v>
      </c>
      <c r="F66" s="48" t="s">
        <v>269</v>
      </c>
      <c r="G66" s="53">
        <f t="shared" si="31"/>
        <v>21.205</v>
      </c>
      <c r="H66" s="53">
        <v>21.205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31"/>
      <c r="O66" s="31"/>
    </row>
    <row r="67" spans="1:15" ht="21.75" customHeight="1">
      <c r="A67" s="43" t="s">
        <v>257</v>
      </c>
      <c r="B67" s="48" t="s">
        <v>76</v>
      </c>
      <c r="C67" s="48" t="s">
        <v>43</v>
      </c>
      <c r="D67" s="48" t="s">
        <v>140</v>
      </c>
      <c r="E67" s="48" t="s">
        <v>123</v>
      </c>
      <c r="F67" s="48"/>
      <c r="G67" s="53">
        <f>H67+I67+J67+K67</f>
        <v>55.458</v>
      </c>
      <c r="H67" s="53">
        <f aca="true" t="shared" si="33" ref="H67:M67">H69+H70+H71</f>
        <v>3.119</v>
      </c>
      <c r="I67" s="53">
        <f t="shared" si="33"/>
        <v>37.977</v>
      </c>
      <c r="J67" s="51">
        <f t="shared" si="33"/>
        <v>11.3</v>
      </c>
      <c r="K67" s="53">
        <f t="shared" si="33"/>
        <v>3.062</v>
      </c>
      <c r="L67" s="51">
        <f t="shared" si="33"/>
        <v>29</v>
      </c>
      <c r="M67" s="51">
        <f t="shared" si="33"/>
        <v>29</v>
      </c>
      <c r="N67" s="31"/>
      <c r="O67" s="31"/>
    </row>
    <row r="68" spans="1:15" ht="21.75" customHeight="1">
      <c r="A68" s="43" t="s">
        <v>23</v>
      </c>
      <c r="B68" s="48"/>
      <c r="C68" s="48"/>
      <c r="D68" s="48"/>
      <c r="E68" s="48"/>
      <c r="F68" s="48"/>
      <c r="G68" s="50"/>
      <c r="H68" s="50"/>
      <c r="I68" s="50"/>
      <c r="J68" s="50"/>
      <c r="K68" s="50"/>
      <c r="L68" s="50"/>
      <c r="M68" s="50"/>
      <c r="N68" s="31"/>
      <c r="O68" s="31"/>
    </row>
    <row r="69" spans="1:15" ht="16.5" customHeight="1">
      <c r="A69" s="43" t="s">
        <v>257</v>
      </c>
      <c r="B69" s="48" t="s">
        <v>76</v>
      </c>
      <c r="C69" s="48" t="s">
        <v>43</v>
      </c>
      <c r="D69" s="48" t="s">
        <v>140</v>
      </c>
      <c r="E69" s="48" t="s">
        <v>123</v>
      </c>
      <c r="F69" s="48" t="s">
        <v>269</v>
      </c>
      <c r="G69" s="53">
        <f t="shared" si="31"/>
        <v>44.829</v>
      </c>
      <c r="H69" s="53">
        <v>3.119</v>
      </c>
      <c r="I69" s="53">
        <v>37.977</v>
      </c>
      <c r="J69" s="53">
        <v>11.3</v>
      </c>
      <c r="K69" s="53">
        <v>-7.567</v>
      </c>
      <c r="L69" s="51">
        <v>29</v>
      </c>
      <c r="M69" s="51">
        <v>29</v>
      </c>
      <c r="N69" s="31"/>
      <c r="O69" s="31"/>
    </row>
    <row r="70" spans="1:15" ht="16.5" customHeight="1">
      <c r="A70" s="41" t="s">
        <v>259</v>
      </c>
      <c r="B70" s="48" t="s">
        <v>76</v>
      </c>
      <c r="C70" s="48" t="s">
        <v>43</v>
      </c>
      <c r="D70" s="48" t="s">
        <v>140</v>
      </c>
      <c r="E70" s="48" t="s">
        <v>123</v>
      </c>
      <c r="F70" s="48" t="s">
        <v>258</v>
      </c>
      <c r="G70" s="51">
        <f>H70+I70+J70+K70</f>
        <v>10</v>
      </c>
      <c r="H70" s="45">
        <v>0</v>
      </c>
      <c r="I70" s="45">
        <v>0</v>
      </c>
      <c r="J70" s="45">
        <v>0</v>
      </c>
      <c r="K70" s="51">
        <v>10</v>
      </c>
      <c r="L70" s="45">
        <v>0</v>
      </c>
      <c r="M70" s="45">
        <v>0</v>
      </c>
      <c r="N70" s="31"/>
      <c r="O70" s="31"/>
    </row>
    <row r="71" spans="1:15" ht="16.5" customHeight="1">
      <c r="A71" s="41" t="s">
        <v>341</v>
      </c>
      <c r="B71" s="48" t="s">
        <v>76</v>
      </c>
      <c r="C71" s="48" t="s">
        <v>43</v>
      </c>
      <c r="D71" s="48" t="s">
        <v>140</v>
      </c>
      <c r="E71" s="48" t="s">
        <v>123</v>
      </c>
      <c r="F71" s="48" t="s">
        <v>342</v>
      </c>
      <c r="G71" s="53">
        <f>H71+I71+J71+K71</f>
        <v>0.629</v>
      </c>
      <c r="H71" s="45">
        <v>0</v>
      </c>
      <c r="I71" s="45">
        <v>0</v>
      </c>
      <c r="J71" s="45">
        <v>0</v>
      </c>
      <c r="K71" s="53">
        <v>0.629</v>
      </c>
      <c r="L71" s="45">
        <v>0</v>
      </c>
      <c r="M71" s="45">
        <v>0</v>
      </c>
      <c r="N71" s="31"/>
      <c r="O71" s="31"/>
    </row>
    <row r="72" spans="1:15" ht="16.5" customHeight="1">
      <c r="A72" s="43" t="s">
        <v>254</v>
      </c>
      <c r="B72" s="48" t="s">
        <v>76</v>
      </c>
      <c r="C72" s="48" t="s">
        <v>43</v>
      </c>
      <c r="D72" s="48" t="s">
        <v>140</v>
      </c>
      <c r="E72" s="48" t="s">
        <v>208</v>
      </c>
      <c r="F72" s="48"/>
      <c r="G72" s="50">
        <f>G74+G75+G76</f>
        <v>121.97186</v>
      </c>
      <c r="H72" s="53">
        <f aca="true" t="shared" si="34" ref="H72:M72">H74+H75+H76</f>
        <v>29.527</v>
      </c>
      <c r="I72" s="45">
        <f t="shared" si="34"/>
        <v>0</v>
      </c>
      <c r="J72" s="50">
        <f t="shared" si="34"/>
        <v>92.06937</v>
      </c>
      <c r="K72" s="50">
        <f t="shared" si="34"/>
        <v>0.37549</v>
      </c>
      <c r="L72" s="45">
        <f t="shared" si="34"/>
        <v>0</v>
      </c>
      <c r="M72" s="45">
        <f t="shared" si="34"/>
        <v>0</v>
      </c>
      <c r="N72" s="31"/>
      <c r="O72" s="31"/>
    </row>
    <row r="73" spans="1:15" ht="16.5" customHeight="1">
      <c r="A73" s="43" t="s">
        <v>23</v>
      </c>
      <c r="B73" s="48"/>
      <c r="C73" s="48"/>
      <c r="D73" s="48"/>
      <c r="E73" s="48"/>
      <c r="F73" s="48"/>
      <c r="G73" s="50"/>
      <c r="H73" s="53"/>
      <c r="I73" s="45"/>
      <c r="J73" s="50"/>
      <c r="K73" s="50"/>
      <c r="L73" s="45"/>
      <c r="M73" s="45"/>
      <c r="N73" s="31"/>
      <c r="O73" s="31"/>
    </row>
    <row r="74" spans="1:15" ht="27" customHeight="1">
      <c r="A74" s="43" t="s">
        <v>343</v>
      </c>
      <c r="B74" s="48" t="s">
        <v>76</v>
      </c>
      <c r="C74" s="48" t="s">
        <v>43</v>
      </c>
      <c r="D74" s="48" t="s">
        <v>140</v>
      </c>
      <c r="E74" s="48" t="s">
        <v>208</v>
      </c>
      <c r="F74" s="48" t="s">
        <v>344</v>
      </c>
      <c r="G74" s="50">
        <f>H74+I74+J74+K74</f>
        <v>2.1948600000000003</v>
      </c>
      <c r="H74" s="45">
        <v>0</v>
      </c>
      <c r="I74" s="45">
        <v>0</v>
      </c>
      <c r="J74" s="50">
        <f>2.7+0.25-0.88063</f>
        <v>2.06937</v>
      </c>
      <c r="K74" s="50">
        <f>0.88063-0.75514</f>
        <v>0.12549</v>
      </c>
      <c r="L74" s="45">
        <v>0</v>
      </c>
      <c r="M74" s="45">
        <v>0</v>
      </c>
      <c r="N74" s="31"/>
      <c r="O74" s="31"/>
    </row>
    <row r="75" spans="1:15" ht="20.25" customHeight="1">
      <c r="A75" s="41" t="s">
        <v>259</v>
      </c>
      <c r="B75" s="48" t="s">
        <v>76</v>
      </c>
      <c r="C75" s="48" t="s">
        <v>43</v>
      </c>
      <c r="D75" s="48" t="s">
        <v>140</v>
      </c>
      <c r="E75" s="48" t="s">
        <v>208</v>
      </c>
      <c r="F75" s="48" t="s">
        <v>258</v>
      </c>
      <c r="G75" s="51">
        <f>H75+I75+J75+K75</f>
        <v>90.25</v>
      </c>
      <c r="H75" s="45">
        <v>0</v>
      </c>
      <c r="I75" s="45">
        <v>0</v>
      </c>
      <c r="J75" s="51">
        <f>30+60</f>
        <v>90</v>
      </c>
      <c r="K75" s="51">
        <v>0.25</v>
      </c>
      <c r="L75" s="45">
        <v>0</v>
      </c>
      <c r="M75" s="45">
        <v>0</v>
      </c>
      <c r="N75" s="31"/>
      <c r="O75" s="31"/>
    </row>
    <row r="76" spans="1:15" ht="18.75" customHeight="1">
      <c r="A76" s="41" t="s">
        <v>341</v>
      </c>
      <c r="B76" s="48" t="s">
        <v>76</v>
      </c>
      <c r="C76" s="48" t="s">
        <v>43</v>
      </c>
      <c r="D76" s="48" t="s">
        <v>140</v>
      </c>
      <c r="E76" s="48" t="s">
        <v>208</v>
      </c>
      <c r="F76" s="48" t="s">
        <v>342</v>
      </c>
      <c r="G76" s="53">
        <f>H76+I76+J76+K76</f>
        <v>29.527</v>
      </c>
      <c r="H76" s="53">
        <v>29.527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31"/>
      <c r="O76" s="31"/>
    </row>
    <row r="77" spans="1:15" ht="30.75" customHeight="1">
      <c r="A77" s="62" t="s">
        <v>295</v>
      </c>
      <c r="B77" s="55" t="s">
        <v>76</v>
      </c>
      <c r="C77" s="55" t="s">
        <v>43</v>
      </c>
      <c r="D77" s="55" t="s">
        <v>218</v>
      </c>
      <c r="E77" s="55" t="s">
        <v>127</v>
      </c>
      <c r="F77" s="48"/>
      <c r="G77" s="56">
        <f t="shared" si="31"/>
        <v>1101.5106500000002</v>
      </c>
      <c r="H77" s="56">
        <f aca="true" t="shared" si="35" ref="H77:M77">H78</f>
        <v>114.04593</v>
      </c>
      <c r="I77" s="56">
        <f t="shared" si="35"/>
        <v>245.79622</v>
      </c>
      <c r="J77" s="56">
        <f t="shared" si="35"/>
        <v>314.88971000000004</v>
      </c>
      <c r="K77" s="56">
        <f t="shared" si="35"/>
        <v>426.77878999999996</v>
      </c>
      <c r="L77" s="58">
        <f t="shared" si="35"/>
        <v>1156</v>
      </c>
      <c r="M77" s="58">
        <f t="shared" si="35"/>
        <v>1156</v>
      </c>
      <c r="N77" s="31"/>
      <c r="O77" s="31"/>
    </row>
    <row r="78" spans="1:15" ht="15" customHeight="1">
      <c r="A78" s="43" t="s">
        <v>15</v>
      </c>
      <c r="B78" s="48" t="s">
        <v>76</v>
      </c>
      <c r="C78" s="48" t="s">
        <v>43</v>
      </c>
      <c r="D78" s="48" t="s">
        <v>218</v>
      </c>
      <c r="E78" s="48" t="s">
        <v>88</v>
      </c>
      <c r="F78" s="48" t="s">
        <v>39</v>
      </c>
      <c r="G78" s="50">
        <f t="shared" si="31"/>
        <v>1101.5106500000002</v>
      </c>
      <c r="H78" s="50">
        <f aca="true" t="shared" si="36" ref="H78:M78">H79+H80</f>
        <v>114.04593</v>
      </c>
      <c r="I78" s="50">
        <f t="shared" si="36"/>
        <v>245.79622</v>
      </c>
      <c r="J78" s="50">
        <f t="shared" si="36"/>
        <v>314.88971000000004</v>
      </c>
      <c r="K78" s="50">
        <f t="shared" si="36"/>
        <v>426.77878999999996</v>
      </c>
      <c r="L78" s="51">
        <f t="shared" si="36"/>
        <v>1156</v>
      </c>
      <c r="M78" s="51">
        <f t="shared" si="36"/>
        <v>1156</v>
      </c>
      <c r="N78" s="31"/>
      <c r="O78" s="31"/>
    </row>
    <row r="79" spans="1:15" ht="17.25" customHeight="1">
      <c r="A79" s="41" t="s">
        <v>16</v>
      </c>
      <c r="B79" s="48" t="s">
        <v>76</v>
      </c>
      <c r="C79" s="48" t="s">
        <v>43</v>
      </c>
      <c r="D79" s="48" t="s">
        <v>218</v>
      </c>
      <c r="E79" s="48" t="s">
        <v>89</v>
      </c>
      <c r="F79" s="48" t="s">
        <v>40</v>
      </c>
      <c r="G79" s="50">
        <f t="shared" si="26"/>
        <v>848.49442</v>
      </c>
      <c r="H79" s="50">
        <v>94.55141</v>
      </c>
      <c r="I79" s="50">
        <v>190.33587</v>
      </c>
      <c r="J79" s="50">
        <v>242.77858</v>
      </c>
      <c r="K79" s="50">
        <v>320.82856</v>
      </c>
      <c r="L79" s="51">
        <v>887.9</v>
      </c>
      <c r="M79" s="51">
        <v>887.9</v>
      </c>
      <c r="N79" s="31"/>
      <c r="O79" s="31"/>
    </row>
    <row r="80" spans="1:15" ht="13.5" customHeight="1">
      <c r="A80" s="41" t="s">
        <v>18</v>
      </c>
      <c r="B80" s="48" t="s">
        <v>76</v>
      </c>
      <c r="C80" s="48" t="s">
        <v>43</v>
      </c>
      <c r="D80" s="48" t="s">
        <v>218</v>
      </c>
      <c r="E80" s="48" t="s">
        <v>204</v>
      </c>
      <c r="F80" s="48" t="s">
        <v>42</v>
      </c>
      <c r="G80" s="50">
        <f t="shared" si="26"/>
        <v>253.01623</v>
      </c>
      <c r="H80" s="50">
        <v>19.49452</v>
      </c>
      <c r="I80" s="50">
        <v>55.46035</v>
      </c>
      <c r="J80" s="50">
        <v>72.11113</v>
      </c>
      <c r="K80" s="50">
        <v>105.95023</v>
      </c>
      <c r="L80" s="51">
        <v>268.1</v>
      </c>
      <c r="M80" s="51">
        <v>268.1</v>
      </c>
      <c r="N80" s="31"/>
      <c r="O80" s="31"/>
    </row>
    <row r="81" spans="1:15" ht="13.5" customHeight="1" hidden="1">
      <c r="A81" s="41" t="s">
        <v>254</v>
      </c>
      <c r="B81" s="48" t="s">
        <v>76</v>
      </c>
      <c r="C81" s="48" t="s">
        <v>43</v>
      </c>
      <c r="D81" s="48" t="s">
        <v>140</v>
      </c>
      <c r="E81" s="48" t="s">
        <v>208</v>
      </c>
      <c r="F81" s="48" t="s">
        <v>50</v>
      </c>
      <c r="G81" s="50">
        <f>H81+I81+J81+K81</f>
        <v>0</v>
      </c>
      <c r="H81" s="50"/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31"/>
      <c r="O81" s="31"/>
    </row>
    <row r="82" spans="1:15" ht="21" customHeight="1">
      <c r="A82" s="62" t="s">
        <v>300</v>
      </c>
      <c r="B82" s="55" t="s">
        <v>76</v>
      </c>
      <c r="C82" s="55" t="s">
        <v>55</v>
      </c>
      <c r="D82" s="55" t="s">
        <v>151</v>
      </c>
      <c r="E82" s="55" t="s">
        <v>59</v>
      </c>
      <c r="F82" s="55"/>
      <c r="G82" s="56">
        <f t="shared" si="26"/>
        <v>261.89099</v>
      </c>
      <c r="H82" s="56">
        <f aca="true" t="shared" si="37" ref="H82:M82">H83+H90+H91+H89+H87</f>
        <v>38.237230000000004</v>
      </c>
      <c r="I82" s="56">
        <f t="shared" si="37"/>
        <v>58.64668</v>
      </c>
      <c r="J82" s="56">
        <f t="shared" si="37"/>
        <v>50.55481</v>
      </c>
      <c r="K82" s="56">
        <f t="shared" si="37"/>
        <v>114.45227</v>
      </c>
      <c r="L82" s="58">
        <f t="shared" si="37"/>
        <v>257.9</v>
      </c>
      <c r="M82" s="58">
        <f t="shared" si="37"/>
        <v>257.9</v>
      </c>
      <c r="N82" s="31"/>
      <c r="O82" s="31"/>
    </row>
    <row r="83" spans="1:15" ht="13.5" customHeight="1">
      <c r="A83" s="43" t="s">
        <v>15</v>
      </c>
      <c r="B83" s="48"/>
      <c r="C83" s="48"/>
      <c r="D83" s="48"/>
      <c r="E83" s="48"/>
      <c r="F83" s="48" t="s">
        <v>39</v>
      </c>
      <c r="G83" s="50">
        <f t="shared" si="26"/>
        <v>252.04799000000003</v>
      </c>
      <c r="H83" s="50">
        <f aca="true" t="shared" si="38" ref="H83:M83">H84+H86+H85</f>
        <v>38.237230000000004</v>
      </c>
      <c r="I83" s="50">
        <f t="shared" si="38"/>
        <v>58.64668</v>
      </c>
      <c r="J83" s="50">
        <f t="shared" si="38"/>
        <v>50.55481</v>
      </c>
      <c r="K83" s="50">
        <f t="shared" si="38"/>
        <v>104.60927</v>
      </c>
      <c r="L83" s="51">
        <f t="shared" si="38"/>
        <v>247.9</v>
      </c>
      <c r="M83" s="51">
        <f t="shared" si="38"/>
        <v>247.9</v>
      </c>
      <c r="N83" s="31"/>
      <c r="O83" s="31"/>
    </row>
    <row r="84" spans="1:15" ht="13.5" customHeight="1">
      <c r="A84" s="41" t="s">
        <v>16</v>
      </c>
      <c r="B84" s="48"/>
      <c r="C84" s="48"/>
      <c r="D84" s="48"/>
      <c r="E84" s="48"/>
      <c r="F84" s="48" t="s">
        <v>40</v>
      </c>
      <c r="G84" s="50">
        <f t="shared" si="26"/>
        <v>194.19986</v>
      </c>
      <c r="H84" s="50">
        <f aca="true" t="shared" si="39" ref="H84:K86">H99</f>
        <v>31.07768</v>
      </c>
      <c r="I84" s="50">
        <f t="shared" si="39"/>
        <v>45.043530000000004</v>
      </c>
      <c r="J84" s="50">
        <f t="shared" si="39"/>
        <v>37.74825</v>
      </c>
      <c r="K84" s="49">
        <f t="shared" si="39"/>
        <v>80.3304</v>
      </c>
      <c r="L84" s="51">
        <f aca="true" t="shared" si="40" ref="L84:M86">L99</f>
        <v>190.4</v>
      </c>
      <c r="M84" s="51">
        <f t="shared" si="40"/>
        <v>190.4</v>
      </c>
      <c r="N84" s="31"/>
      <c r="O84" s="31"/>
    </row>
    <row r="85" spans="1:15" ht="12.75" customHeight="1" hidden="1">
      <c r="A85" s="41" t="s">
        <v>17</v>
      </c>
      <c r="B85" s="48"/>
      <c r="C85" s="48"/>
      <c r="D85" s="48"/>
      <c r="E85" s="48"/>
      <c r="F85" s="48" t="s">
        <v>41</v>
      </c>
      <c r="G85" s="50">
        <f t="shared" si="26"/>
        <v>0</v>
      </c>
      <c r="H85" s="50">
        <f t="shared" si="39"/>
        <v>0</v>
      </c>
      <c r="I85" s="50">
        <f t="shared" si="39"/>
        <v>0</v>
      </c>
      <c r="J85" s="50">
        <f t="shared" si="39"/>
        <v>0</v>
      </c>
      <c r="K85" s="50">
        <f t="shared" si="39"/>
        <v>0</v>
      </c>
      <c r="L85" s="51">
        <f t="shared" si="40"/>
        <v>0</v>
      </c>
      <c r="M85" s="51">
        <f t="shared" si="40"/>
        <v>0</v>
      </c>
      <c r="N85" s="31"/>
      <c r="O85" s="31"/>
    </row>
    <row r="86" spans="1:15" ht="13.5" customHeight="1">
      <c r="A86" s="41" t="s">
        <v>18</v>
      </c>
      <c r="B86" s="48"/>
      <c r="C86" s="48"/>
      <c r="D86" s="48"/>
      <c r="E86" s="48"/>
      <c r="F86" s="48" t="s">
        <v>42</v>
      </c>
      <c r="G86" s="50">
        <f t="shared" si="26"/>
        <v>57.84813</v>
      </c>
      <c r="H86" s="50">
        <f t="shared" si="39"/>
        <v>7.15955</v>
      </c>
      <c r="I86" s="50">
        <f>I101</f>
        <v>13.60315</v>
      </c>
      <c r="J86" s="50">
        <f t="shared" si="39"/>
        <v>12.806560000000001</v>
      </c>
      <c r="K86" s="50">
        <f t="shared" si="39"/>
        <v>24.278869999999998</v>
      </c>
      <c r="L86" s="51">
        <f t="shared" si="40"/>
        <v>57.5</v>
      </c>
      <c r="M86" s="51">
        <f t="shared" si="40"/>
        <v>57.5</v>
      </c>
      <c r="N86" s="31"/>
      <c r="O86" s="31"/>
    </row>
    <row r="87" spans="1:15" ht="12.75" customHeight="1" hidden="1">
      <c r="A87" s="41" t="s">
        <v>19</v>
      </c>
      <c r="B87" s="48"/>
      <c r="C87" s="48"/>
      <c r="D87" s="48"/>
      <c r="E87" s="48"/>
      <c r="F87" s="48" t="s">
        <v>44</v>
      </c>
      <c r="G87" s="50">
        <f t="shared" si="26"/>
        <v>0</v>
      </c>
      <c r="H87" s="50">
        <f aca="true" t="shared" si="41" ref="H87:M87">H88</f>
        <v>0</v>
      </c>
      <c r="I87" s="50">
        <f t="shared" si="41"/>
        <v>0</v>
      </c>
      <c r="J87" s="50">
        <f t="shared" si="41"/>
        <v>0</v>
      </c>
      <c r="K87" s="50">
        <f t="shared" si="41"/>
        <v>0</v>
      </c>
      <c r="L87" s="50">
        <f t="shared" si="41"/>
        <v>0</v>
      </c>
      <c r="M87" s="50">
        <f t="shared" si="41"/>
        <v>0</v>
      </c>
      <c r="N87" s="31"/>
      <c r="O87" s="31"/>
    </row>
    <row r="88" spans="1:15" ht="15" customHeight="1" hidden="1">
      <c r="A88" s="41" t="s">
        <v>28</v>
      </c>
      <c r="B88" s="48"/>
      <c r="C88" s="48"/>
      <c r="D88" s="48"/>
      <c r="E88" s="48"/>
      <c r="F88" s="48" t="s">
        <v>49</v>
      </c>
      <c r="G88" s="50">
        <f t="shared" si="26"/>
        <v>0</v>
      </c>
      <c r="H88" s="50">
        <f aca="true" t="shared" si="42" ref="H88:M88">H106</f>
        <v>0</v>
      </c>
      <c r="I88" s="50">
        <f t="shared" si="42"/>
        <v>0</v>
      </c>
      <c r="J88" s="50">
        <f t="shared" si="42"/>
        <v>0</v>
      </c>
      <c r="K88" s="50">
        <f t="shared" si="42"/>
        <v>0</v>
      </c>
      <c r="L88" s="50">
        <f t="shared" si="42"/>
        <v>0</v>
      </c>
      <c r="M88" s="50">
        <f t="shared" si="42"/>
        <v>0</v>
      </c>
      <c r="N88" s="31"/>
      <c r="O88" s="31"/>
    </row>
    <row r="89" spans="1:15" ht="14.25" customHeight="1" hidden="1">
      <c r="A89" s="41" t="s">
        <v>93</v>
      </c>
      <c r="B89" s="48"/>
      <c r="C89" s="48"/>
      <c r="D89" s="48"/>
      <c r="E89" s="48"/>
      <c r="F89" s="48" t="s">
        <v>51</v>
      </c>
      <c r="G89" s="50">
        <f t="shared" si="26"/>
        <v>0</v>
      </c>
      <c r="H89" s="50">
        <f aca="true" t="shared" si="43" ref="H89:M89">H102</f>
        <v>0</v>
      </c>
      <c r="I89" s="50">
        <f t="shared" si="43"/>
        <v>0</v>
      </c>
      <c r="J89" s="50">
        <f t="shared" si="43"/>
        <v>0</v>
      </c>
      <c r="K89" s="50">
        <f t="shared" si="43"/>
        <v>0</v>
      </c>
      <c r="L89" s="50">
        <f t="shared" si="43"/>
        <v>0</v>
      </c>
      <c r="M89" s="50">
        <f t="shared" si="43"/>
        <v>0</v>
      </c>
      <c r="N89" s="31"/>
      <c r="O89" s="31"/>
    </row>
    <row r="90" spans="1:15" ht="11.25" customHeight="1" hidden="1">
      <c r="A90" s="43" t="s">
        <v>29</v>
      </c>
      <c r="B90" s="48"/>
      <c r="C90" s="48"/>
      <c r="D90" s="48"/>
      <c r="E90" s="48"/>
      <c r="F90" s="48" t="s">
        <v>50</v>
      </c>
      <c r="G90" s="50">
        <f t="shared" si="26"/>
        <v>2.7755575615628914E-17</v>
      </c>
      <c r="H90" s="50">
        <f aca="true" t="shared" si="44" ref="H90:M90">H107+H113</f>
        <v>0</v>
      </c>
      <c r="I90" s="50">
        <f t="shared" si="44"/>
        <v>0</v>
      </c>
      <c r="J90" s="50">
        <f t="shared" si="44"/>
        <v>0</v>
      </c>
      <c r="K90" s="50">
        <f t="shared" si="44"/>
        <v>2.7755575615628914E-17</v>
      </c>
      <c r="L90" s="50">
        <f t="shared" si="44"/>
        <v>0</v>
      </c>
      <c r="M90" s="50">
        <f t="shared" si="44"/>
        <v>0</v>
      </c>
      <c r="N90" s="31"/>
      <c r="O90" s="31"/>
    </row>
    <row r="91" spans="1:15" ht="15" customHeight="1">
      <c r="A91" s="43" t="s">
        <v>31</v>
      </c>
      <c r="B91" s="48"/>
      <c r="C91" s="48"/>
      <c r="D91" s="48"/>
      <c r="E91" s="48"/>
      <c r="F91" s="48" t="s">
        <v>52</v>
      </c>
      <c r="G91" s="53">
        <f t="shared" si="26"/>
        <v>9.843</v>
      </c>
      <c r="H91" s="45">
        <f aca="true" t="shared" si="45" ref="H91:M91">H92+H93</f>
        <v>0</v>
      </c>
      <c r="I91" s="45">
        <f t="shared" si="45"/>
        <v>0</v>
      </c>
      <c r="J91" s="45">
        <f t="shared" si="45"/>
        <v>0</v>
      </c>
      <c r="K91" s="53">
        <f t="shared" si="45"/>
        <v>9.843</v>
      </c>
      <c r="L91" s="51">
        <f t="shared" si="45"/>
        <v>10</v>
      </c>
      <c r="M91" s="51">
        <f t="shared" si="45"/>
        <v>10</v>
      </c>
      <c r="N91" s="31"/>
      <c r="O91" s="31"/>
    </row>
    <row r="92" spans="1:15" ht="12.75" customHeight="1" hidden="1">
      <c r="A92" s="43" t="s">
        <v>32</v>
      </c>
      <c r="B92" s="48"/>
      <c r="C92" s="48"/>
      <c r="D92" s="48"/>
      <c r="E92" s="48"/>
      <c r="F92" s="48" t="s">
        <v>53</v>
      </c>
      <c r="G92" s="53">
        <f t="shared" si="26"/>
        <v>0</v>
      </c>
      <c r="H92" s="45">
        <f aca="true" t="shared" si="46" ref="H92:M92">H109</f>
        <v>0</v>
      </c>
      <c r="I92" s="45">
        <f t="shared" si="46"/>
        <v>0</v>
      </c>
      <c r="J92" s="45">
        <f t="shared" si="46"/>
        <v>0</v>
      </c>
      <c r="K92" s="53">
        <f t="shared" si="46"/>
        <v>0</v>
      </c>
      <c r="L92" s="51">
        <f t="shared" si="46"/>
        <v>0</v>
      </c>
      <c r="M92" s="51">
        <f t="shared" si="46"/>
        <v>0</v>
      </c>
      <c r="N92" s="31"/>
      <c r="O92" s="31"/>
    </row>
    <row r="93" spans="1:15" ht="15" customHeight="1">
      <c r="A93" s="43" t="s">
        <v>33</v>
      </c>
      <c r="B93" s="48"/>
      <c r="C93" s="48"/>
      <c r="D93" s="48"/>
      <c r="E93" s="48"/>
      <c r="F93" s="48" t="s">
        <v>54</v>
      </c>
      <c r="G93" s="53">
        <f t="shared" si="26"/>
        <v>9.843</v>
      </c>
      <c r="H93" s="45">
        <f aca="true" t="shared" si="47" ref="H93:M93">H96</f>
        <v>0</v>
      </c>
      <c r="I93" s="45">
        <f t="shared" si="47"/>
        <v>0</v>
      </c>
      <c r="J93" s="45">
        <f t="shared" si="47"/>
        <v>0</v>
      </c>
      <c r="K93" s="53">
        <f t="shared" si="47"/>
        <v>9.843</v>
      </c>
      <c r="L93" s="51">
        <f t="shared" si="47"/>
        <v>10</v>
      </c>
      <c r="M93" s="51">
        <f t="shared" si="47"/>
        <v>10</v>
      </c>
      <c r="N93" s="31"/>
      <c r="O93" s="31"/>
    </row>
    <row r="94" spans="1:15" ht="12" customHeight="1">
      <c r="A94" s="43" t="s">
        <v>23</v>
      </c>
      <c r="B94" s="48"/>
      <c r="C94" s="48"/>
      <c r="D94" s="48"/>
      <c r="E94" s="48"/>
      <c r="F94" s="48"/>
      <c r="G94" s="53"/>
      <c r="H94" s="45"/>
      <c r="I94" s="45"/>
      <c r="J94" s="45"/>
      <c r="K94" s="53"/>
      <c r="L94" s="51"/>
      <c r="M94" s="51"/>
      <c r="N94" s="31"/>
      <c r="O94" s="31"/>
    </row>
    <row r="95" spans="1:15" ht="14.25" customHeight="1" hidden="1">
      <c r="A95" s="43" t="s">
        <v>34</v>
      </c>
      <c r="B95" s="48"/>
      <c r="C95" s="48"/>
      <c r="D95" s="48"/>
      <c r="E95" s="48"/>
      <c r="F95" s="48" t="s">
        <v>54</v>
      </c>
      <c r="G95" s="53">
        <f t="shared" si="26"/>
        <v>0</v>
      </c>
      <c r="H95" s="45"/>
      <c r="I95" s="45"/>
      <c r="J95" s="45"/>
      <c r="K95" s="53"/>
      <c r="L95" s="51"/>
      <c r="M95" s="51"/>
      <c r="N95" s="31"/>
      <c r="O95" s="31"/>
    </row>
    <row r="96" spans="1:15" ht="12" customHeight="1">
      <c r="A96" s="43" t="s">
        <v>84</v>
      </c>
      <c r="B96" s="48"/>
      <c r="C96" s="48"/>
      <c r="D96" s="48"/>
      <c r="E96" s="48"/>
      <c r="F96" s="48" t="s">
        <v>340</v>
      </c>
      <c r="G96" s="53">
        <f t="shared" si="26"/>
        <v>9.843</v>
      </c>
      <c r="H96" s="45">
        <f aca="true" t="shared" si="48" ref="H96:M96">H111</f>
        <v>0</v>
      </c>
      <c r="I96" s="45">
        <f t="shared" si="48"/>
        <v>0</v>
      </c>
      <c r="J96" s="45">
        <f t="shared" si="48"/>
        <v>0</v>
      </c>
      <c r="K96" s="53">
        <f t="shared" si="48"/>
        <v>9.843</v>
      </c>
      <c r="L96" s="51">
        <f t="shared" si="48"/>
        <v>10</v>
      </c>
      <c r="M96" s="51">
        <f t="shared" si="48"/>
        <v>10</v>
      </c>
      <c r="N96" s="31"/>
      <c r="O96" s="31"/>
    </row>
    <row r="97" spans="1:15" ht="31.5" customHeight="1">
      <c r="A97" s="43" t="s">
        <v>296</v>
      </c>
      <c r="B97" s="55" t="s">
        <v>76</v>
      </c>
      <c r="C97" s="55" t="s">
        <v>55</v>
      </c>
      <c r="D97" s="55" t="s">
        <v>138</v>
      </c>
      <c r="E97" s="55" t="s">
        <v>127</v>
      </c>
      <c r="F97" s="55"/>
      <c r="G97" s="56">
        <f>H97+I97+J97+K97</f>
        <v>252.04799000000003</v>
      </c>
      <c r="H97" s="56">
        <f aca="true" t="shared" si="49" ref="H97:M97">H98+H105</f>
        <v>38.237230000000004</v>
      </c>
      <c r="I97" s="56">
        <f t="shared" si="49"/>
        <v>58.64668</v>
      </c>
      <c r="J97" s="56">
        <f t="shared" si="49"/>
        <v>50.55481</v>
      </c>
      <c r="K97" s="56">
        <f t="shared" si="49"/>
        <v>104.60927</v>
      </c>
      <c r="L97" s="56">
        <f t="shared" si="49"/>
        <v>247.9</v>
      </c>
      <c r="M97" s="56">
        <f t="shared" si="49"/>
        <v>247.9</v>
      </c>
      <c r="N97" s="31"/>
      <c r="O97" s="31"/>
    </row>
    <row r="98" spans="1:15" ht="14.25" customHeight="1">
      <c r="A98" s="43" t="s">
        <v>15</v>
      </c>
      <c r="B98" s="48" t="s">
        <v>76</v>
      </c>
      <c r="C98" s="48" t="s">
        <v>55</v>
      </c>
      <c r="D98" s="48" t="s">
        <v>138</v>
      </c>
      <c r="E98" s="48" t="s">
        <v>88</v>
      </c>
      <c r="F98" s="48" t="s">
        <v>39</v>
      </c>
      <c r="G98" s="50">
        <f>H98+I98+J98+K98</f>
        <v>252.04799000000003</v>
      </c>
      <c r="H98" s="50">
        <f>H99+H101+H100</f>
        <v>38.237230000000004</v>
      </c>
      <c r="I98" s="50">
        <f>SUM(I99:I101)</f>
        <v>58.64668</v>
      </c>
      <c r="J98" s="50">
        <f>SUM(J99:J101)</f>
        <v>50.55481</v>
      </c>
      <c r="K98" s="50">
        <f>SUM(K99:K101)</f>
        <v>104.60927</v>
      </c>
      <c r="L98" s="50">
        <f>SUM(L99:L101)</f>
        <v>247.9</v>
      </c>
      <c r="M98" s="50">
        <f>SUM(M99:M101)</f>
        <v>247.9</v>
      </c>
      <c r="N98" s="31"/>
      <c r="O98" s="31"/>
    </row>
    <row r="99" spans="1:15" ht="13.5" customHeight="1">
      <c r="A99" s="41" t="s">
        <v>16</v>
      </c>
      <c r="B99" s="48" t="s">
        <v>76</v>
      </c>
      <c r="C99" s="48" t="s">
        <v>55</v>
      </c>
      <c r="D99" s="48" t="s">
        <v>138</v>
      </c>
      <c r="E99" s="48" t="s">
        <v>89</v>
      </c>
      <c r="F99" s="48" t="s">
        <v>40</v>
      </c>
      <c r="G99" s="50">
        <f>H99+I99+J99+K99</f>
        <v>194.19986</v>
      </c>
      <c r="H99" s="50">
        <f>38.1-7.02232</f>
        <v>31.07768</v>
      </c>
      <c r="I99" s="50">
        <f>47.6+7.02232-9.57879</f>
        <v>45.043530000000004</v>
      </c>
      <c r="J99" s="50">
        <f>47.6+9.57879-19.43054</f>
        <v>37.74825</v>
      </c>
      <c r="K99" s="50">
        <f>57.1+19.43054+3.8-0.00014</f>
        <v>80.3304</v>
      </c>
      <c r="L99" s="51">
        <v>190.4</v>
      </c>
      <c r="M99" s="51">
        <v>190.4</v>
      </c>
      <c r="N99" s="31"/>
      <c r="O99" s="31"/>
    </row>
    <row r="100" spans="1:15" ht="12" customHeight="1" hidden="1">
      <c r="A100" s="41" t="s">
        <v>17</v>
      </c>
      <c r="B100" s="48" t="s">
        <v>76</v>
      </c>
      <c r="C100" s="48" t="s">
        <v>55</v>
      </c>
      <c r="D100" s="48" t="s">
        <v>138</v>
      </c>
      <c r="E100" s="48" t="s">
        <v>94</v>
      </c>
      <c r="F100" s="48" t="s">
        <v>41</v>
      </c>
      <c r="G100" s="50">
        <f>SUM(H100:K100)</f>
        <v>0</v>
      </c>
      <c r="H100" s="50"/>
      <c r="I100" s="50"/>
      <c r="J100" s="50"/>
      <c r="K100" s="50"/>
      <c r="L100" s="50"/>
      <c r="M100" s="50"/>
      <c r="N100" s="31"/>
      <c r="O100" s="31"/>
    </row>
    <row r="101" spans="1:15" ht="15" customHeight="1">
      <c r="A101" s="41" t="s">
        <v>18</v>
      </c>
      <c r="B101" s="48" t="s">
        <v>76</v>
      </c>
      <c r="C101" s="48" t="s">
        <v>55</v>
      </c>
      <c r="D101" s="48" t="s">
        <v>138</v>
      </c>
      <c r="E101" s="48" t="s">
        <v>204</v>
      </c>
      <c r="F101" s="48" t="s">
        <v>42</v>
      </c>
      <c r="G101" s="50">
        <f>H101+I101+J101+K101</f>
        <v>57.84813</v>
      </c>
      <c r="H101" s="50">
        <f>11.5-4.34045</f>
        <v>7.15955</v>
      </c>
      <c r="I101" s="50">
        <f>14.4+4.34045-5.1373</f>
        <v>13.60315</v>
      </c>
      <c r="J101" s="50">
        <f>14.4+5.1373-6.73074</f>
        <v>12.806560000000001</v>
      </c>
      <c r="K101" s="50">
        <f>17.2+6.73074+1.2-0.85187</f>
        <v>24.278869999999998</v>
      </c>
      <c r="L101" s="51">
        <v>57.5</v>
      </c>
      <c r="M101" s="51">
        <v>57.5</v>
      </c>
      <c r="N101" s="31"/>
      <c r="O101" s="31"/>
    </row>
    <row r="102" spans="1:15" ht="16.5" customHeight="1" hidden="1">
      <c r="A102" s="41"/>
      <c r="B102" s="48" t="s">
        <v>76</v>
      </c>
      <c r="C102" s="48" t="s">
        <v>55</v>
      </c>
      <c r="D102" s="48" t="s">
        <v>138</v>
      </c>
      <c r="E102" s="48" t="s">
        <v>94</v>
      </c>
      <c r="F102" s="48" t="s">
        <v>51</v>
      </c>
      <c r="G102" s="50">
        <f>H102+I102+J102+K102</f>
        <v>0</v>
      </c>
      <c r="H102" s="50"/>
      <c r="I102" s="50"/>
      <c r="J102" s="50"/>
      <c r="K102" s="50"/>
      <c r="L102" s="50"/>
      <c r="M102" s="50"/>
      <c r="N102" s="31"/>
      <c r="O102" s="31"/>
    </row>
    <row r="103" spans="1:15" ht="43.5" customHeight="1">
      <c r="A103" s="43" t="s">
        <v>301</v>
      </c>
      <c r="B103" s="55" t="s">
        <v>76</v>
      </c>
      <c r="C103" s="55" t="s">
        <v>55</v>
      </c>
      <c r="D103" s="55" t="s">
        <v>140</v>
      </c>
      <c r="E103" s="55" t="s">
        <v>125</v>
      </c>
      <c r="F103" s="55"/>
      <c r="G103" s="57">
        <f>H103+I103+J103+K103</f>
        <v>9.843</v>
      </c>
      <c r="H103" s="60">
        <f aca="true" t="shared" si="50" ref="H103:M103">H108+H105+H107+H112</f>
        <v>0</v>
      </c>
      <c r="I103" s="60">
        <f t="shared" si="50"/>
        <v>0</v>
      </c>
      <c r="J103" s="60">
        <f t="shared" si="50"/>
        <v>0</v>
      </c>
      <c r="K103" s="56">
        <f t="shared" si="50"/>
        <v>9.843</v>
      </c>
      <c r="L103" s="58">
        <f t="shared" si="50"/>
        <v>10</v>
      </c>
      <c r="M103" s="58">
        <f t="shared" si="50"/>
        <v>10</v>
      </c>
      <c r="N103" s="31"/>
      <c r="O103" s="31"/>
    </row>
    <row r="104" spans="1:15" ht="27.75" customHeight="1">
      <c r="A104" s="43" t="s">
        <v>297</v>
      </c>
      <c r="B104" s="48" t="s">
        <v>76</v>
      </c>
      <c r="C104" s="48" t="s">
        <v>55</v>
      </c>
      <c r="D104" s="48" t="s">
        <v>140</v>
      </c>
      <c r="E104" s="55" t="s">
        <v>125</v>
      </c>
      <c r="F104" s="55"/>
      <c r="G104" s="57">
        <f>H104+I104+J104+K104</f>
        <v>9.843</v>
      </c>
      <c r="H104" s="60">
        <f aca="true" t="shared" si="51" ref="H104:M104">H108</f>
        <v>0</v>
      </c>
      <c r="I104" s="60">
        <f t="shared" si="51"/>
        <v>0</v>
      </c>
      <c r="J104" s="60">
        <f t="shared" si="51"/>
        <v>0</v>
      </c>
      <c r="K104" s="56">
        <f t="shared" si="51"/>
        <v>9.843</v>
      </c>
      <c r="L104" s="58">
        <f t="shared" si="51"/>
        <v>10</v>
      </c>
      <c r="M104" s="58">
        <f t="shared" si="51"/>
        <v>10</v>
      </c>
      <c r="N104" s="31"/>
      <c r="O104" s="31"/>
    </row>
    <row r="105" spans="1:15" ht="19.5" customHeight="1" hidden="1">
      <c r="A105" s="41" t="s">
        <v>19</v>
      </c>
      <c r="B105" s="48" t="s">
        <v>76</v>
      </c>
      <c r="C105" s="48" t="s">
        <v>55</v>
      </c>
      <c r="D105" s="48" t="s">
        <v>140</v>
      </c>
      <c r="E105" s="48" t="s">
        <v>96</v>
      </c>
      <c r="F105" s="48" t="s">
        <v>44</v>
      </c>
      <c r="G105" s="53">
        <f aca="true" t="shared" si="52" ref="G105:G110">H105+I105+J105+K105</f>
        <v>0</v>
      </c>
      <c r="H105" s="45"/>
      <c r="I105" s="45"/>
      <c r="J105" s="45"/>
      <c r="K105" s="50"/>
      <c r="L105" s="51"/>
      <c r="M105" s="51"/>
      <c r="N105" s="31"/>
      <c r="O105" s="31"/>
    </row>
    <row r="106" spans="1:15" ht="12" customHeight="1" hidden="1">
      <c r="A106" s="41" t="s">
        <v>28</v>
      </c>
      <c r="B106" s="48" t="s">
        <v>76</v>
      </c>
      <c r="C106" s="48" t="s">
        <v>55</v>
      </c>
      <c r="D106" s="48" t="s">
        <v>140</v>
      </c>
      <c r="E106" s="48" t="s">
        <v>95</v>
      </c>
      <c r="F106" s="48" t="s">
        <v>49</v>
      </c>
      <c r="G106" s="53">
        <f t="shared" si="52"/>
        <v>0</v>
      </c>
      <c r="H106" s="45"/>
      <c r="I106" s="45"/>
      <c r="J106" s="45"/>
      <c r="K106" s="50"/>
      <c r="L106" s="51"/>
      <c r="M106" s="51"/>
      <c r="N106" s="31"/>
      <c r="O106" s="31"/>
    </row>
    <row r="107" spans="1:15" ht="15" customHeight="1" hidden="1">
      <c r="A107" s="41"/>
      <c r="B107" s="48" t="s">
        <v>76</v>
      </c>
      <c r="C107" s="48" t="s">
        <v>55</v>
      </c>
      <c r="D107" s="48" t="s">
        <v>140</v>
      </c>
      <c r="E107" s="48"/>
      <c r="F107" s="48" t="s">
        <v>50</v>
      </c>
      <c r="G107" s="53">
        <f t="shared" si="52"/>
        <v>0</v>
      </c>
      <c r="H107" s="45">
        <v>0</v>
      </c>
      <c r="I107" s="45">
        <v>0</v>
      </c>
      <c r="J107" s="45">
        <v>0</v>
      </c>
      <c r="K107" s="50">
        <v>0</v>
      </c>
      <c r="L107" s="51">
        <v>0</v>
      </c>
      <c r="M107" s="51">
        <v>0</v>
      </c>
      <c r="N107" s="31"/>
      <c r="O107" s="31"/>
    </row>
    <row r="108" spans="1:15" ht="15" customHeight="1">
      <c r="A108" s="43" t="s">
        <v>31</v>
      </c>
      <c r="B108" s="48" t="s">
        <v>76</v>
      </c>
      <c r="C108" s="48" t="s">
        <v>55</v>
      </c>
      <c r="D108" s="48" t="s">
        <v>140</v>
      </c>
      <c r="E108" s="48" t="s">
        <v>96</v>
      </c>
      <c r="F108" s="48" t="s">
        <v>52</v>
      </c>
      <c r="G108" s="53">
        <f t="shared" si="52"/>
        <v>9.843</v>
      </c>
      <c r="H108" s="45">
        <f aca="true" t="shared" si="53" ref="H108:M108">H109+H110+H111</f>
        <v>0</v>
      </c>
      <c r="I108" s="45">
        <f t="shared" si="53"/>
        <v>0</v>
      </c>
      <c r="J108" s="45">
        <f t="shared" si="53"/>
        <v>0</v>
      </c>
      <c r="K108" s="50">
        <f t="shared" si="53"/>
        <v>9.843</v>
      </c>
      <c r="L108" s="51">
        <f t="shared" si="53"/>
        <v>10</v>
      </c>
      <c r="M108" s="51">
        <f t="shared" si="53"/>
        <v>10</v>
      </c>
      <c r="N108" s="31"/>
      <c r="O108" s="31"/>
    </row>
    <row r="109" spans="1:15" ht="15.75" customHeight="1" hidden="1">
      <c r="A109" s="43" t="s">
        <v>83</v>
      </c>
      <c r="B109" s="48" t="s">
        <v>76</v>
      </c>
      <c r="C109" s="48" t="s">
        <v>55</v>
      </c>
      <c r="D109" s="48" t="s">
        <v>140</v>
      </c>
      <c r="E109" s="48" t="s">
        <v>95</v>
      </c>
      <c r="F109" s="48" t="s">
        <v>53</v>
      </c>
      <c r="G109" s="50">
        <f t="shared" si="52"/>
        <v>0</v>
      </c>
      <c r="H109" s="50">
        <f>48.32-1.68-46.64</f>
        <v>0</v>
      </c>
      <c r="I109" s="50">
        <f>46.64-46.64</f>
        <v>0</v>
      </c>
      <c r="J109" s="50">
        <f>46.64-26.091-20.549</f>
        <v>0</v>
      </c>
      <c r="K109" s="50">
        <v>0</v>
      </c>
      <c r="L109" s="50">
        <v>0</v>
      </c>
      <c r="M109" s="50">
        <v>0</v>
      </c>
      <c r="N109" s="31"/>
      <c r="O109" s="31"/>
    </row>
    <row r="110" spans="1:15" ht="14.25" customHeight="1" hidden="1">
      <c r="A110" s="43" t="s">
        <v>84</v>
      </c>
      <c r="B110" s="48" t="s">
        <v>76</v>
      </c>
      <c r="C110" s="48" t="s">
        <v>55</v>
      </c>
      <c r="D110" s="48" t="s">
        <v>140</v>
      </c>
      <c r="E110" s="48" t="s">
        <v>95</v>
      </c>
      <c r="F110" s="48" t="s">
        <v>54</v>
      </c>
      <c r="G110" s="50">
        <f t="shared" si="52"/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31"/>
      <c r="O110" s="31"/>
    </row>
    <row r="111" spans="1:15" ht="14.25" customHeight="1">
      <c r="A111" s="43" t="s">
        <v>84</v>
      </c>
      <c r="B111" s="48" t="s">
        <v>76</v>
      </c>
      <c r="C111" s="48" t="s">
        <v>55</v>
      </c>
      <c r="D111" s="48" t="s">
        <v>140</v>
      </c>
      <c r="E111" s="48" t="s">
        <v>95</v>
      </c>
      <c r="F111" s="48" t="s">
        <v>340</v>
      </c>
      <c r="G111" s="53">
        <f>SUM(H111:K111)</f>
        <v>9.843</v>
      </c>
      <c r="H111" s="45">
        <f>2.5-2.5</f>
        <v>0</v>
      </c>
      <c r="I111" s="45">
        <f>2.5+2.5-5</f>
        <v>0</v>
      </c>
      <c r="J111" s="45">
        <f>2.5+5-7.5</f>
        <v>0</v>
      </c>
      <c r="K111" s="53">
        <f>2.5+7.5-0.157</f>
        <v>9.843</v>
      </c>
      <c r="L111" s="51">
        <v>10</v>
      </c>
      <c r="M111" s="51">
        <v>10</v>
      </c>
      <c r="N111" s="31"/>
      <c r="O111" s="31"/>
    </row>
    <row r="112" spans="1:15" ht="14.25" customHeight="1" hidden="1">
      <c r="A112" s="43" t="s">
        <v>241</v>
      </c>
      <c r="B112" s="48" t="s">
        <v>76</v>
      </c>
      <c r="C112" s="48" t="s">
        <v>55</v>
      </c>
      <c r="D112" s="48" t="s">
        <v>140</v>
      </c>
      <c r="E112" s="48" t="s">
        <v>161</v>
      </c>
      <c r="F112" s="48"/>
      <c r="G112" s="50">
        <f>SUM(H112:K112)</f>
        <v>2.7755575615628914E-17</v>
      </c>
      <c r="H112" s="50">
        <f aca="true" t="shared" si="54" ref="H112:M112">H113</f>
        <v>0</v>
      </c>
      <c r="I112" s="50">
        <f t="shared" si="54"/>
        <v>0</v>
      </c>
      <c r="J112" s="50">
        <f t="shared" si="54"/>
        <v>0</v>
      </c>
      <c r="K112" s="50">
        <f t="shared" si="54"/>
        <v>2.7755575615628914E-17</v>
      </c>
      <c r="L112" s="50">
        <f t="shared" si="54"/>
        <v>0</v>
      </c>
      <c r="M112" s="50">
        <f t="shared" si="54"/>
        <v>0</v>
      </c>
      <c r="N112" s="31"/>
      <c r="O112" s="31"/>
    </row>
    <row r="113" spans="1:15" ht="14.25" customHeight="1" hidden="1">
      <c r="A113" s="41" t="s">
        <v>256</v>
      </c>
      <c r="B113" s="48" t="s">
        <v>76</v>
      </c>
      <c r="C113" s="48" t="s">
        <v>55</v>
      </c>
      <c r="D113" s="48" t="s">
        <v>140</v>
      </c>
      <c r="E113" s="48" t="s">
        <v>123</v>
      </c>
      <c r="F113" s="48" t="s">
        <v>50</v>
      </c>
      <c r="G113" s="50">
        <f>SUM(H113:K113)</f>
        <v>2.7755575615628914E-17</v>
      </c>
      <c r="H113" s="50">
        <f>1.68-1.68</f>
        <v>0</v>
      </c>
      <c r="I113" s="50">
        <f>1.68-1.68</f>
        <v>0</v>
      </c>
      <c r="J113" s="50">
        <f>1.68-1.68</f>
        <v>0</v>
      </c>
      <c r="K113" s="50">
        <f>1.68-1.65-0.03</f>
        <v>2.7755575615628914E-17</v>
      </c>
      <c r="L113" s="50">
        <v>0</v>
      </c>
      <c r="M113" s="50">
        <v>0</v>
      </c>
      <c r="N113" s="31"/>
      <c r="O113" s="31"/>
    </row>
    <row r="114" spans="1:15" ht="24" customHeight="1">
      <c r="A114" s="62" t="s">
        <v>298</v>
      </c>
      <c r="B114" s="55" t="s">
        <v>76</v>
      </c>
      <c r="C114" s="55" t="s">
        <v>85</v>
      </c>
      <c r="D114" s="55" t="s">
        <v>141</v>
      </c>
      <c r="E114" s="55" t="s">
        <v>128</v>
      </c>
      <c r="F114" s="55"/>
      <c r="G114" s="60">
        <f aca="true" t="shared" si="55" ref="G114:M114">G115</f>
        <v>0</v>
      </c>
      <c r="H114" s="60">
        <f t="shared" si="55"/>
        <v>0</v>
      </c>
      <c r="I114" s="60">
        <f t="shared" si="55"/>
        <v>0</v>
      </c>
      <c r="J114" s="60">
        <f t="shared" si="55"/>
        <v>0</v>
      </c>
      <c r="K114" s="60">
        <f t="shared" si="55"/>
        <v>0</v>
      </c>
      <c r="L114" s="58">
        <f t="shared" si="55"/>
        <v>250</v>
      </c>
      <c r="M114" s="58">
        <f t="shared" si="55"/>
        <v>250</v>
      </c>
      <c r="N114" s="31"/>
      <c r="O114" s="31"/>
    </row>
    <row r="115" spans="1:15" ht="12.75" customHeight="1">
      <c r="A115" s="41" t="s">
        <v>29</v>
      </c>
      <c r="B115" s="48" t="s">
        <v>76</v>
      </c>
      <c r="C115" s="48" t="s">
        <v>85</v>
      </c>
      <c r="D115" s="48" t="s">
        <v>141</v>
      </c>
      <c r="E115" s="48" t="s">
        <v>98</v>
      </c>
      <c r="F115" s="48" t="s">
        <v>50</v>
      </c>
      <c r="G115" s="45">
        <f>H115+I115+J115+K115</f>
        <v>0</v>
      </c>
      <c r="H115" s="45">
        <v>0</v>
      </c>
      <c r="I115" s="45">
        <v>0</v>
      </c>
      <c r="J115" s="45">
        <v>0</v>
      </c>
      <c r="K115" s="45">
        <v>0</v>
      </c>
      <c r="L115" s="51">
        <v>250</v>
      </c>
      <c r="M115" s="51">
        <v>250</v>
      </c>
      <c r="N115" s="31"/>
      <c r="O115" s="31"/>
    </row>
    <row r="116" spans="1:36" ht="54.75" customHeight="1">
      <c r="A116" s="62" t="s">
        <v>287</v>
      </c>
      <c r="B116" s="55" t="s">
        <v>76</v>
      </c>
      <c r="C116" s="55" t="s">
        <v>122</v>
      </c>
      <c r="D116" s="55" t="s">
        <v>142</v>
      </c>
      <c r="E116" s="55" t="s">
        <v>125</v>
      </c>
      <c r="F116" s="55"/>
      <c r="G116" s="58">
        <f>H116+I116+J116+K116</f>
        <v>37</v>
      </c>
      <c r="H116" s="60">
        <f aca="true" t="shared" si="56" ref="H116:K117">H117</f>
        <v>0</v>
      </c>
      <c r="I116" s="58">
        <f t="shared" si="56"/>
        <v>24</v>
      </c>
      <c r="J116" s="58">
        <f t="shared" si="56"/>
        <v>3</v>
      </c>
      <c r="K116" s="58">
        <f t="shared" si="56"/>
        <v>10</v>
      </c>
      <c r="L116" s="58">
        <f>L117</f>
        <v>100</v>
      </c>
      <c r="M116" s="58">
        <f>M117</f>
        <v>100</v>
      </c>
      <c r="N116" s="31"/>
      <c r="O116" s="31"/>
      <c r="Z116" s="37">
        <f>G114+G116+G119+G158+G170+G545</f>
        <v>2530.66718</v>
      </c>
      <c r="AB116" s="38" t="e">
        <f>Z116+Z191+Z197+Z261+Z385+Z388+Z489+Z535</f>
        <v>#REF!</v>
      </c>
      <c r="AD116" s="12">
        <f>G116+G119+G126+G170+G158</f>
        <v>14481.85059</v>
      </c>
      <c r="AE116" s="12"/>
      <c r="AJ116" s="12"/>
    </row>
    <row r="117" spans="1:15" ht="69.75" customHeight="1">
      <c r="A117" s="43" t="s">
        <v>299</v>
      </c>
      <c r="B117" s="48" t="s">
        <v>76</v>
      </c>
      <c r="C117" s="48" t="s">
        <v>122</v>
      </c>
      <c r="D117" s="48" t="s">
        <v>143</v>
      </c>
      <c r="E117" s="48" t="s">
        <v>96</v>
      </c>
      <c r="F117" s="48"/>
      <c r="G117" s="51">
        <f aca="true" t="shared" si="57" ref="G117:G123">H117+I117+J117+K117</f>
        <v>37</v>
      </c>
      <c r="H117" s="45">
        <f t="shared" si="56"/>
        <v>0</v>
      </c>
      <c r="I117" s="51">
        <f t="shared" si="56"/>
        <v>24</v>
      </c>
      <c r="J117" s="51">
        <f t="shared" si="56"/>
        <v>3</v>
      </c>
      <c r="K117" s="51">
        <f t="shared" si="56"/>
        <v>10</v>
      </c>
      <c r="L117" s="51">
        <f>L118</f>
        <v>100</v>
      </c>
      <c r="M117" s="51">
        <f>M118</f>
        <v>100</v>
      </c>
      <c r="N117" s="31"/>
      <c r="O117" s="31"/>
    </row>
    <row r="118" spans="1:15" ht="12.75" customHeight="1">
      <c r="A118" s="43" t="s">
        <v>305</v>
      </c>
      <c r="B118" s="48" t="s">
        <v>76</v>
      </c>
      <c r="C118" s="48" t="s">
        <v>122</v>
      </c>
      <c r="D118" s="48" t="s">
        <v>143</v>
      </c>
      <c r="E118" s="48" t="s">
        <v>95</v>
      </c>
      <c r="F118" s="48" t="s">
        <v>49</v>
      </c>
      <c r="G118" s="51">
        <f t="shared" si="57"/>
        <v>37</v>
      </c>
      <c r="H118" s="45">
        <f>25-25</f>
        <v>0</v>
      </c>
      <c r="I118" s="51">
        <f>25+25-26</f>
        <v>24</v>
      </c>
      <c r="J118" s="51">
        <f>25+26-18-30</f>
        <v>3</v>
      </c>
      <c r="K118" s="51">
        <f>25+30-45</f>
        <v>10</v>
      </c>
      <c r="L118" s="51">
        <v>100</v>
      </c>
      <c r="M118" s="51">
        <v>100</v>
      </c>
      <c r="N118" s="31"/>
      <c r="O118" s="31"/>
    </row>
    <row r="119" spans="1:15" ht="45" customHeight="1">
      <c r="A119" s="22" t="s">
        <v>345</v>
      </c>
      <c r="B119" s="55" t="s">
        <v>76</v>
      </c>
      <c r="C119" s="55" t="s">
        <v>122</v>
      </c>
      <c r="D119" s="55" t="s">
        <v>318</v>
      </c>
      <c r="E119" s="55" t="s">
        <v>125</v>
      </c>
      <c r="F119" s="55"/>
      <c r="G119" s="58">
        <f t="shared" si="57"/>
        <v>1.3</v>
      </c>
      <c r="H119" s="58">
        <f aca="true" t="shared" si="58" ref="H119:M119">H120+H122+H124</f>
        <v>7.5</v>
      </c>
      <c r="I119" s="58">
        <f t="shared" si="58"/>
        <v>0</v>
      </c>
      <c r="J119" s="58">
        <f t="shared" si="58"/>
        <v>-7.5</v>
      </c>
      <c r="K119" s="58">
        <f t="shared" si="58"/>
        <v>1.3</v>
      </c>
      <c r="L119" s="58">
        <f t="shared" si="58"/>
        <v>50</v>
      </c>
      <c r="M119" s="58">
        <f t="shared" si="58"/>
        <v>50</v>
      </c>
      <c r="N119" s="31"/>
      <c r="O119" s="31"/>
    </row>
    <row r="120" spans="1:15" ht="40.5" customHeight="1">
      <c r="A120" s="43" t="s">
        <v>306</v>
      </c>
      <c r="B120" s="48" t="s">
        <v>76</v>
      </c>
      <c r="C120" s="48" t="s">
        <v>122</v>
      </c>
      <c r="D120" s="48" t="s">
        <v>144</v>
      </c>
      <c r="E120" s="48" t="s">
        <v>96</v>
      </c>
      <c r="F120" s="48"/>
      <c r="G120" s="45">
        <f t="shared" si="57"/>
        <v>0</v>
      </c>
      <c r="H120" s="45">
        <f aca="true" t="shared" si="59" ref="H120:M120">H121</f>
        <v>0</v>
      </c>
      <c r="I120" s="45">
        <f t="shared" si="59"/>
        <v>0</v>
      </c>
      <c r="J120" s="45">
        <f t="shared" si="59"/>
        <v>0</v>
      </c>
      <c r="K120" s="45">
        <f t="shared" si="59"/>
        <v>0</v>
      </c>
      <c r="L120" s="51">
        <f t="shared" si="59"/>
        <v>50</v>
      </c>
      <c r="M120" s="51">
        <f t="shared" si="59"/>
        <v>50</v>
      </c>
      <c r="N120" s="31"/>
      <c r="O120" s="31"/>
    </row>
    <row r="121" spans="1:15" ht="11.25" customHeight="1">
      <c r="A121" s="43" t="s">
        <v>305</v>
      </c>
      <c r="B121" s="48" t="s">
        <v>76</v>
      </c>
      <c r="C121" s="48" t="s">
        <v>122</v>
      </c>
      <c r="D121" s="48" t="s">
        <v>144</v>
      </c>
      <c r="E121" s="48" t="s">
        <v>95</v>
      </c>
      <c r="F121" s="48" t="s">
        <v>49</v>
      </c>
      <c r="G121" s="45">
        <f t="shared" si="57"/>
        <v>0</v>
      </c>
      <c r="H121" s="45">
        <f>12.5-12.5</f>
        <v>0</v>
      </c>
      <c r="I121" s="45">
        <f>12.5+12.5-8+8+12.5+12.5-23.5-26.5</f>
        <v>0</v>
      </c>
      <c r="J121" s="45">
        <f>26.5-26.5</f>
        <v>0</v>
      </c>
      <c r="K121" s="45">
        <f>26.5-26.5</f>
        <v>0</v>
      </c>
      <c r="L121" s="51">
        <v>50</v>
      </c>
      <c r="M121" s="51">
        <v>50</v>
      </c>
      <c r="N121" s="31"/>
      <c r="O121" s="31"/>
    </row>
    <row r="122" spans="1:15" ht="24.75" customHeight="1">
      <c r="A122" s="43" t="s">
        <v>146</v>
      </c>
      <c r="B122" s="48" t="s">
        <v>76</v>
      </c>
      <c r="C122" s="48" t="s">
        <v>122</v>
      </c>
      <c r="D122" s="48" t="s">
        <v>145</v>
      </c>
      <c r="E122" s="48" t="s">
        <v>96</v>
      </c>
      <c r="F122" s="48"/>
      <c r="G122" s="45">
        <f t="shared" si="57"/>
        <v>0</v>
      </c>
      <c r="H122" s="51">
        <f aca="true" t="shared" si="60" ref="H122:M122">H123</f>
        <v>7.5</v>
      </c>
      <c r="I122" s="45">
        <f t="shared" si="60"/>
        <v>0</v>
      </c>
      <c r="J122" s="51">
        <f t="shared" si="60"/>
        <v>-7.5</v>
      </c>
      <c r="K122" s="45">
        <f t="shared" si="60"/>
        <v>0</v>
      </c>
      <c r="L122" s="45">
        <f t="shared" si="60"/>
        <v>0</v>
      </c>
      <c r="M122" s="45">
        <f t="shared" si="60"/>
        <v>0</v>
      </c>
      <c r="N122" s="31"/>
      <c r="O122" s="31"/>
    </row>
    <row r="123" spans="1:15" ht="12" customHeight="1">
      <c r="A123" s="43" t="s">
        <v>305</v>
      </c>
      <c r="B123" s="48" t="s">
        <v>76</v>
      </c>
      <c r="C123" s="48" t="s">
        <v>122</v>
      </c>
      <c r="D123" s="48" t="s">
        <v>145</v>
      </c>
      <c r="E123" s="48" t="s">
        <v>95</v>
      </c>
      <c r="F123" s="48" t="s">
        <v>49</v>
      </c>
      <c r="G123" s="45">
        <f t="shared" si="57"/>
        <v>0</v>
      </c>
      <c r="H123" s="51">
        <f>12.5-5</f>
        <v>7.5</v>
      </c>
      <c r="I123" s="45">
        <f>12.5+5-8-8-1.5</f>
        <v>0</v>
      </c>
      <c r="J123" s="51">
        <f>12.5+23.5+14-57.5</f>
        <v>-7.5</v>
      </c>
      <c r="K123" s="45">
        <f>12.5-12.5</f>
        <v>0</v>
      </c>
      <c r="L123" s="45">
        <f>50-50</f>
        <v>0</v>
      </c>
      <c r="M123" s="45">
        <f>50-50</f>
        <v>0</v>
      </c>
      <c r="N123" s="31"/>
      <c r="O123" s="31"/>
    </row>
    <row r="124" spans="1:15" ht="21.75" customHeight="1">
      <c r="A124" s="43" t="s">
        <v>160</v>
      </c>
      <c r="B124" s="48" t="s">
        <v>76</v>
      </c>
      <c r="C124" s="48" t="s">
        <v>122</v>
      </c>
      <c r="D124" s="48" t="s">
        <v>346</v>
      </c>
      <c r="E124" s="48" t="s">
        <v>161</v>
      </c>
      <c r="F124" s="48"/>
      <c r="G124" s="51">
        <f>H124+I124+J124+K124</f>
        <v>1.3</v>
      </c>
      <c r="H124" s="45">
        <f aca="true" t="shared" si="61" ref="H124:M124">H125</f>
        <v>0</v>
      </c>
      <c r="I124" s="45">
        <f t="shared" si="61"/>
        <v>0</v>
      </c>
      <c r="J124" s="45">
        <f t="shared" si="61"/>
        <v>0</v>
      </c>
      <c r="K124" s="51">
        <f t="shared" si="61"/>
        <v>1.3</v>
      </c>
      <c r="L124" s="45">
        <f t="shared" si="61"/>
        <v>0</v>
      </c>
      <c r="M124" s="45">
        <f t="shared" si="61"/>
        <v>0</v>
      </c>
      <c r="N124" s="31"/>
      <c r="O124" s="31"/>
    </row>
    <row r="125" spans="1:15" ht="12" customHeight="1">
      <c r="A125" s="41" t="s">
        <v>257</v>
      </c>
      <c r="B125" s="48" t="s">
        <v>76</v>
      </c>
      <c r="C125" s="48" t="s">
        <v>122</v>
      </c>
      <c r="D125" s="48" t="s">
        <v>346</v>
      </c>
      <c r="E125" s="48" t="s">
        <v>123</v>
      </c>
      <c r="F125" s="48" t="s">
        <v>269</v>
      </c>
      <c r="G125" s="51">
        <f>H125+I125+J125+K125</f>
        <v>1.3</v>
      </c>
      <c r="H125" s="45">
        <v>0</v>
      </c>
      <c r="I125" s="45">
        <f>16-16</f>
        <v>0</v>
      </c>
      <c r="J125" s="45">
        <f>16-16</f>
        <v>0</v>
      </c>
      <c r="K125" s="51">
        <v>1.3</v>
      </c>
      <c r="L125" s="45">
        <v>0</v>
      </c>
      <c r="M125" s="45">
        <v>0</v>
      </c>
      <c r="N125" s="31"/>
      <c r="O125" s="31"/>
    </row>
    <row r="126" spans="1:15" ht="81.75" customHeight="1">
      <c r="A126" s="22" t="s">
        <v>307</v>
      </c>
      <c r="B126" s="55" t="s">
        <v>76</v>
      </c>
      <c r="C126" s="55" t="s">
        <v>122</v>
      </c>
      <c r="D126" s="55" t="s">
        <v>319</v>
      </c>
      <c r="E126" s="55" t="s">
        <v>59</v>
      </c>
      <c r="F126" s="48"/>
      <c r="G126" s="56">
        <f>H126+I126+J126+K126</f>
        <v>12156.558410000001</v>
      </c>
      <c r="H126" s="56">
        <f aca="true" t="shared" si="62" ref="H126:M126">H127+H131+H148+H150+H152+H154+H156</f>
        <v>2085.0283900000004</v>
      </c>
      <c r="I126" s="56">
        <f t="shared" si="62"/>
        <v>3020.70293</v>
      </c>
      <c r="J126" s="56">
        <f t="shared" si="62"/>
        <v>2653.2475600000002</v>
      </c>
      <c r="K126" s="56">
        <f t="shared" si="62"/>
        <v>4397.57953</v>
      </c>
      <c r="L126" s="56">
        <f t="shared" si="62"/>
        <v>11969.71</v>
      </c>
      <c r="M126" s="56">
        <f t="shared" si="62"/>
        <v>12112.509999999998</v>
      </c>
      <c r="N126" s="31"/>
      <c r="O126" s="31"/>
    </row>
    <row r="127" spans="1:15" ht="36.75" customHeight="1">
      <c r="A127" s="43" t="s">
        <v>182</v>
      </c>
      <c r="B127" s="48" t="s">
        <v>76</v>
      </c>
      <c r="C127" s="48" t="s">
        <v>122</v>
      </c>
      <c r="D127" s="48" t="s">
        <v>156</v>
      </c>
      <c r="E127" s="48" t="s">
        <v>99</v>
      </c>
      <c r="F127" s="48" t="s">
        <v>39</v>
      </c>
      <c r="G127" s="51">
        <f>H127+I127+J127+K127</f>
        <v>9434.8</v>
      </c>
      <c r="H127" s="50">
        <f>H128+H130</f>
        <v>1544.5021900000002</v>
      </c>
      <c r="I127" s="50">
        <f>I128+I130</f>
        <v>2245.52309</v>
      </c>
      <c r="J127" s="50">
        <f>J128+J130</f>
        <v>2202.38703</v>
      </c>
      <c r="K127" s="50">
        <f>K128+K130+K129</f>
        <v>3442.3876899999996</v>
      </c>
      <c r="L127" s="51">
        <f>L128+L130</f>
        <v>9211.3</v>
      </c>
      <c r="M127" s="51">
        <f>M128+M130+M129</f>
        <v>9211.3</v>
      </c>
      <c r="N127" s="31"/>
      <c r="O127" s="31"/>
    </row>
    <row r="128" spans="1:15" ht="15.75" customHeight="1">
      <c r="A128" s="41" t="s">
        <v>16</v>
      </c>
      <c r="B128" s="48" t="s">
        <v>76</v>
      </c>
      <c r="C128" s="48" t="s">
        <v>122</v>
      </c>
      <c r="D128" s="48" t="s">
        <v>156</v>
      </c>
      <c r="E128" s="48" t="s">
        <v>100</v>
      </c>
      <c r="F128" s="48" t="s">
        <v>40</v>
      </c>
      <c r="G128" s="49">
        <f>H128+I128+J128+K128</f>
        <v>7266.4807</v>
      </c>
      <c r="H128" s="50">
        <f>1414.9-183.29565</f>
        <v>1231.60435</v>
      </c>
      <c r="I128" s="50">
        <f>1768.7+183.29565-181.08677</f>
        <v>1770.90888</v>
      </c>
      <c r="J128" s="50">
        <f>1768.7+181.08677-261.68612</f>
        <v>1688.10065</v>
      </c>
      <c r="K128" s="50">
        <f>2122.4+261.68612+171.7+20.0807</f>
        <v>2575.8668199999997</v>
      </c>
      <c r="L128" s="51">
        <v>7074.7</v>
      </c>
      <c r="M128" s="51">
        <v>7074.7</v>
      </c>
      <c r="N128" s="31"/>
      <c r="O128" s="31"/>
    </row>
    <row r="129" spans="1:15" ht="11.25" customHeight="1" hidden="1">
      <c r="A129" s="41" t="s">
        <v>17</v>
      </c>
      <c r="B129" s="48" t="s">
        <v>76</v>
      </c>
      <c r="C129" s="48" t="s">
        <v>122</v>
      </c>
      <c r="D129" s="48" t="s">
        <v>156</v>
      </c>
      <c r="E129" s="48" t="s">
        <v>103</v>
      </c>
      <c r="F129" s="48" t="s">
        <v>41</v>
      </c>
      <c r="G129" s="50">
        <f>K129</f>
        <v>0</v>
      </c>
      <c r="H129" s="50"/>
      <c r="I129" s="50"/>
      <c r="J129" s="50"/>
      <c r="K129" s="50"/>
      <c r="L129" s="50"/>
      <c r="M129" s="50"/>
      <c r="N129" s="31"/>
      <c r="O129" s="31"/>
    </row>
    <row r="130" spans="1:15" ht="17.25" customHeight="1">
      <c r="A130" s="41" t="s">
        <v>18</v>
      </c>
      <c r="B130" s="48" t="s">
        <v>76</v>
      </c>
      <c r="C130" s="48" t="s">
        <v>122</v>
      </c>
      <c r="D130" s="48" t="s">
        <v>156</v>
      </c>
      <c r="E130" s="48" t="s">
        <v>205</v>
      </c>
      <c r="F130" s="48" t="s">
        <v>42</v>
      </c>
      <c r="G130" s="49">
        <f>H130+I130+J130+K130</f>
        <v>2168.3193</v>
      </c>
      <c r="H130" s="50">
        <f>427.3-114.40216</f>
        <v>312.89784000000003</v>
      </c>
      <c r="I130" s="50">
        <f>534.2+114.40216-173.98795</f>
        <v>474.61421</v>
      </c>
      <c r="J130" s="50">
        <f>534.2+173.98795-193.90157</f>
        <v>514.28638</v>
      </c>
      <c r="K130" s="50">
        <f>640.9+193.90157+51.8-20.0807</f>
        <v>866.52087</v>
      </c>
      <c r="L130" s="51">
        <v>2136.6</v>
      </c>
      <c r="M130" s="51">
        <v>2136.6</v>
      </c>
      <c r="N130" s="31"/>
      <c r="O130" s="31"/>
    </row>
    <row r="131" spans="1:15" ht="24" customHeight="1">
      <c r="A131" s="43" t="s">
        <v>157</v>
      </c>
      <c r="B131" s="48" t="s">
        <v>76</v>
      </c>
      <c r="C131" s="48" t="s">
        <v>122</v>
      </c>
      <c r="D131" s="48" t="s">
        <v>158</v>
      </c>
      <c r="E131" s="48" t="s">
        <v>125</v>
      </c>
      <c r="F131" s="48"/>
      <c r="G131" s="49">
        <f>H131+I131+J131+K131</f>
        <v>1127.1870999999999</v>
      </c>
      <c r="H131" s="50">
        <f aca="true" t="shared" si="63" ref="H131:M131">H132+H144</f>
        <v>146.70172000000002</v>
      </c>
      <c r="I131" s="50">
        <f t="shared" si="63"/>
        <v>401.18351999999993</v>
      </c>
      <c r="J131" s="50">
        <f t="shared" si="63"/>
        <v>143.62297999999998</v>
      </c>
      <c r="K131" s="50">
        <f t="shared" si="63"/>
        <v>435.67887999999994</v>
      </c>
      <c r="L131" s="50">
        <f t="shared" si="63"/>
        <v>1581.5</v>
      </c>
      <c r="M131" s="50">
        <f t="shared" si="63"/>
        <v>1624.3000000000002</v>
      </c>
      <c r="N131" s="31"/>
      <c r="O131" s="31"/>
    </row>
    <row r="132" spans="1:15" ht="14.25" customHeight="1">
      <c r="A132" s="43" t="s">
        <v>23</v>
      </c>
      <c r="B132" s="48" t="s">
        <v>76</v>
      </c>
      <c r="C132" s="48" t="s">
        <v>122</v>
      </c>
      <c r="D132" s="48" t="s">
        <v>158</v>
      </c>
      <c r="E132" s="48" t="s">
        <v>95</v>
      </c>
      <c r="F132" s="48"/>
      <c r="G132" s="50">
        <f>H132+I132+J132+K132</f>
        <v>515.38871</v>
      </c>
      <c r="H132" s="50">
        <f aca="true" t="shared" si="64" ref="H132:M132">H133+H134+H139</f>
        <v>98.3314</v>
      </c>
      <c r="I132" s="50">
        <f t="shared" si="64"/>
        <v>119.80753000000001</v>
      </c>
      <c r="J132" s="50">
        <f t="shared" si="64"/>
        <v>103.95246999999999</v>
      </c>
      <c r="K132" s="50">
        <f t="shared" si="64"/>
        <v>193.29730999999998</v>
      </c>
      <c r="L132" s="50">
        <f t="shared" si="64"/>
        <v>1581.5</v>
      </c>
      <c r="M132" s="50">
        <f t="shared" si="64"/>
        <v>1624.3000000000002</v>
      </c>
      <c r="N132" s="31"/>
      <c r="O132" s="31"/>
    </row>
    <row r="133" spans="1:15" ht="16.5" customHeight="1">
      <c r="A133" s="41" t="s">
        <v>20</v>
      </c>
      <c r="B133" s="48" t="s">
        <v>76</v>
      </c>
      <c r="C133" s="48" t="s">
        <v>122</v>
      </c>
      <c r="D133" s="48" t="s">
        <v>158</v>
      </c>
      <c r="E133" s="48" t="s">
        <v>95</v>
      </c>
      <c r="F133" s="48" t="s">
        <v>45</v>
      </c>
      <c r="G133" s="50">
        <f>H133+I133+J133+K133</f>
        <v>357.81394</v>
      </c>
      <c r="H133" s="50">
        <f>76.4+6+3.57992</f>
        <v>85.97992</v>
      </c>
      <c r="I133" s="49">
        <f>76.4-3.57992+13.28222</f>
        <v>86.1023</v>
      </c>
      <c r="J133" s="50">
        <f>76.4-13.28222+12.40361</f>
        <v>75.52139</v>
      </c>
      <c r="K133" s="50">
        <f>76.5-12.40361+46.11394</f>
        <v>110.21033</v>
      </c>
      <c r="L133" s="51">
        <v>317.9</v>
      </c>
      <c r="M133" s="51">
        <v>330.6</v>
      </c>
      <c r="N133" s="31"/>
      <c r="O133" s="31"/>
    </row>
    <row r="134" spans="1:15" ht="15.75" customHeight="1">
      <c r="A134" s="41" t="s">
        <v>22</v>
      </c>
      <c r="B134" s="48" t="s">
        <v>76</v>
      </c>
      <c r="C134" s="48" t="s">
        <v>122</v>
      </c>
      <c r="D134" s="48" t="s">
        <v>158</v>
      </c>
      <c r="E134" s="48" t="s">
        <v>95</v>
      </c>
      <c r="F134" s="48" t="s">
        <v>47</v>
      </c>
      <c r="G134" s="50">
        <f>H134+I134+J134+K134</f>
        <v>4.49589</v>
      </c>
      <c r="H134" s="50">
        <f aca="true" t="shared" si="65" ref="H134:M134">H136+H137+H138</f>
        <v>0</v>
      </c>
      <c r="I134" s="50">
        <f t="shared" si="65"/>
        <v>1.8722699999999999</v>
      </c>
      <c r="J134" s="50">
        <f t="shared" si="65"/>
        <v>1.12386</v>
      </c>
      <c r="K134" s="50">
        <f t="shared" si="65"/>
        <v>1.4997600000000002</v>
      </c>
      <c r="L134" s="50">
        <f t="shared" si="65"/>
        <v>787.9</v>
      </c>
      <c r="M134" s="50">
        <f t="shared" si="65"/>
        <v>819.7</v>
      </c>
      <c r="N134" s="31"/>
      <c r="O134" s="31"/>
    </row>
    <row r="135" spans="1:15" ht="11.25" customHeight="1">
      <c r="A135" s="41" t="s">
        <v>23</v>
      </c>
      <c r="B135" s="48" t="s">
        <v>76</v>
      </c>
      <c r="C135" s="48" t="s">
        <v>122</v>
      </c>
      <c r="D135" s="48" t="s">
        <v>158</v>
      </c>
      <c r="E135" s="48" t="s">
        <v>95</v>
      </c>
      <c r="F135" s="48"/>
      <c r="G135" s="50"/>
      <c r="H135" s="50"/>
      <c r="I135" s="50"/>
      <c r="J135" s="50"/>
      <c r="K135" s="50"/>
      <c r="L135" s="50"/>
      <c r="M135" s="50"/>
      <c r="N135" s="31"/>
      <c r="O135" s="31"/>
    </row>
    <row r="136" spans="1:15" ht="11.25" customHeight="1">
      <c r="A136" s="41" t="s">
        <v>24</v>
      </c>
      <c r="B136" s="48" t="s">
        <v>76</v>
      </c>
      <c r="C136" s="48" t="s">
        <v>122</v>
      </c>
      <c r="D136" s="48" t="s">
        <v>158</v>
      </c>
      <c r="E136" s="48" t="s">
        <v>95</v>
      </c>
      <c r="F136" s="48" t="s">
        <v>187</v>
      </c>
      <c r="G136" s="45">
        <f>H136+J136+I136+K136</f>
        <v>0</v>
      </c>
      <c r="H136" s="45">
        <f>195.2-195.2</f>
        <v>0</v>
      </c>
      <c r="I136" s="45">
        <f>68.1-68.1</f>
        <v>0</v>
      </c>
      <c r="J136" s="45">
        <v>0</v>
      </c>
      <c r="K136" s="45">
        <f>190.6-190.6</f>
        <v>0</v>
      </c>
      <c r="L136" s="51">
        <v>472.1</v>
      </c>
      <c r="M136" s="51">
        <v>491</v>
      </c>
      <c r="N136" s="31"/>
      <c r="O136" s="31"/>
    </row>
    <row r="137" spans="1:15" ht="11.25" customHeight="1">
      <c r="A137" s="41" t="s">
        <v>25</v>
      </c>
      <c r="B137" s="48" t="s">
        <v>76</v>
      </c>
      <c r="C137" s="48" t="s">
        <v>122</v>
      </c>
      <c r="D137" s="48" t="s">
        <v>158</v>
      </c>
      <c r="E137" s="48" t="s">
        <v>95</v>
      </c>
      <c r="F137" s="48" t="s">
        <v>188</v>
      </c>
      <c r="G137" s="45">
        <f>H137+I137+J137+K137</f>
        <v>0</v>
      </c>
      <c r="H137" s="45">
        <f>89.4-89.4</f>
        <v>0</v>
      </c>
      <c r="I137" s="45">
        <f>59.7-59.7</f>
        <v>0</v>
      </c>
      <c r="J137" s="45">
        <f>59.7-59.7</f>
        <v>0</v>
      </c>
      <c r="K137" s="45">
        <f>89.5-89.5</f>
        <v>0</v>
      </c>
      <c r="L137" s="51">
        <v>310.5</v>
      </c>
      <c r="M137" s="51">
        <v>323.1</v>
      </c>
      <c r="N137" s="31"/>
      <c r="O137" s="31"/>
    </row>
    <row r="138" spans="1:15" ht="11.25" customHeight="1">
      <c r="A138" s="41" t="s">
        <v>26</v>
      </c>
      <c r="B138" s="48" t="s">
        <v>76</v>
      </c>
      <c r="C138" s="48" t="s">
        <v>122</v>
      </c>
      <c r="D138" s="48" t="s">
        <v>158</v>
      </c>
      <c r="E138" s="48" t="s">
        <v>95</v>
      </c>
      <c r="F138" s="48" t="s">
        <v>189</v>
      </c>
      <c r="G138" s="50">
        <f>H138+I138+J138+K138</f>
        <v>4.49589</v>
      </c>
      <c r="H138" s="45">
        <f>1.2-1.2</f>
        <v>0</v>
      </c>
      <c r="I138" s="50">
        <f>1.3+1.2-0.62773</f>
        <v>1.8722699999999999</v>
      </c>
      <c r="J138" s="50">
        <f>1.3+0.62773-0.80387</f>
        <v>1.12386</v>
      </c>
      <c r="K138" s="50">
        <f>1.3+0.80387-0.60411</f>
        <v>1.4997600000000002</v>
      </c>
      <c r="L138" s="51">
        <v>5.3</v>
      </c>
      <c r="M138" s="51">
        <v>5.6</v>
      </c>
      <c r="N138" s="31"/>
      <c r="O138" s="31"/>
    </row>
    <row r="139" spans="1:15" ht="12" customHeight="1">
      <c r="A139" s="41" t="s">
        <v>308</v>
      </c>
      <c r="B139" s="48" t="s">
        <v>76</v>
      </c>
      <c r="C139" s="48" t="s">
        <v>122</v>
      </c>
      <c r="D139" s="48" t="s">
        <v>158</v>
      </c>
      <c r="E139" s="48" t="s">
        <v>95</v>
      </c>
      <c r="F139" s="48" t="s">
        <v>48</v>
      </c>
      <c r="G139" s="50">
        <f>H139+I139+J139+K139</f>
        <v>153.07887999999997</v>
      </c>
      <c r="H139" s="50">
        <f aca="true" t="shared" si="66" ref="H139:M139">H141</f>
        <v>12.351479999999995</v>
      </c>
      <c r="I139" s="50">
        <f t="shared" si="66"/>
        <v>31.832960000000014</v>
      </c>
      <c r="J139" s="50">
        <f t="shared" si="66"/>
        <v>27.30722</v>
      </c>
      <c r="K139" s="50">
        <f t="shared" si="66"/>
        <v>81.58721999999997</v>
      </c>
      <c r="L139" s="50">
        <f t="shared" si="66"/>
        <v>475.7</v>
      </c>
      <c r="M139" s="50">
        <f t="shared" si="66"/>
        <v>474</v>
      </c>
      <c r="N139" s="31"/>
      <c r="O139" s="31"/>
    </row>
    <row r="140" spans="1:15" ht="11.25" customHeight="1">
      <c r="A140" s="41" t="s">
        <v>23</v>
      </c>
      <c r="B140" s="48" t="s">
        <v>76</v>
      </c>
      <c r="C140" s="48" t="s">
        <v>122</v>
      </c>
      <c r="D140" s="48" t="s">
        <v>158</v>
      </c>
      <c r="E140" s="48" t="s">
        <v>95</v>
      </c>
      <c r="F140" s="48"/>
      <c r="G140" s="50"/>
      <c r="H140" s="50"/>
      <c r="I140" s="50"/>
      <c r="J140" s="50"/>
      <c r="K140" s="50"/>
      <c r="L140" s="50"/>
      <c r="M140" s="50"/>
      <c r="N140" s="31"/>
      <c r="O140" s="31"/>
    </row>
    <row r="141" spans="1:15" ht="14.25" customHeight="1">
      <c r="A141" s="41" t="s">
        <v>308</v>
      </c>
      <c r="B141" s="48" t="s">
        <v>76</v>
      </c>
      <c r="C141" s="48" t="s">
        <v>122</v>
      </c>
      <c r="D141" s="48" t="s">
        <v>158</v>
      </c>
      <c r="E141" s="48" t="s">
        <v>95</v>
      </c>
      <c r="F141" s="48" t="s">
        <v>48</v>
      </c>
      <c r="G141" s="50">
        <f>H141+I141+J141+K141</f>
        <v>153.07887999999997</v>
      </c>
      <c r="H141" s="50">
        <f>118.5-106.14852</f>
        <v>12.351479999999995</v>
      </c>
      <c r="I141" s="50">
        <f>118.5+106.14852-192.81556</f>
        <v>31.832960000000014</v>
      </c>
      <c r="J141" s="50">
        <f>118.5+192.81556-30.19-22.11-51.19-20-160.51834</f>
        <v>27.30722</v>
      </c>
      <c r="K141" s="50">
        <f>118.5+160.51834-128.727-93.45632+70.89718-46.14498</f>
        <v>81.58721999999997</v>
      </c>
      <c r="L141" s="51">
        <v>475.7</v>
      </c>
      <c r="M141" s="51">
        <v>474</v>
      </c>
      <c r="N141" s="31"/>
      <c r="O141" s="31"/>
    </row>
    <row r="142" spans="1:15" ht="11.25" customHeight="1" hidden="1">
      <c r="A142" s="41" t="s">
        <v>27</v>
      </c>
      <c r="B142" s="48" t="s">
        <v>76</v>
      </c>
      <c r="C142" s="48" t="s">
        <v>122</v>
      </c>
      <c r="D142" s="48" t="s">
        <v>158</v>
      </c>
      <c r="E142" s="48" t="s">
        <v>95</v>
      </c>
      <c r="F142" s="48" t="s">
        <v>48</v>
      </c>
      <c r="G142" s="50">
        <f>J142+K142</f>
        <v>0</v>
      </c>
      <c r="H142" s="50"/>
      <c r="I142" s="50"/>
      <c r="J142" s="50"/>
      <c r="K142" s="50"/>
      <c r="L142" s="50"/>
      <c r="M142" s="50"/>
      <c r="N142" s="31"/>
      <c r="O142" s="31"/>
    </row>
    <row r="143" spans="1:15" ht="11.25" customHeight="1" hidden="1">
      <c r="A143" s="41" t="s">
        <v>86</v>
      </c>
      <c r="B143" s="48" t="s">
        <v>76</v>
      </c>
      <c r="C143" s="48" t="s">
        <v>122</v>
      </c>
      <c r="D143" s="48" t="s">
        <v>158</v>
      </c>
      <c r="E143" s="48" t="s">
        <v>95</v>
      </c>
      <c r="F143" s="48" t="s">
        <v>48</v>
      </c>
      <c r="G143" s="50">
        <f>H143+I143+J143+K143</f>
        <v>0</v>
      </c>
      <c r="H143" s="50"/>
      <c r="I143" s="50"/>
      <c r="J143" s="50"/>
      <c r="K143" s="50"/>
      <c r="L143" s="50"/>
      <c r="M143" s="50"/>
      <c r="N143" s="31"/>
      <c r="O143" s="31"/>
    </row>
    <row r="144" spans="1:15" ht="27" customHeight="1">
      <c r="A144" s="41" t="s">
        <v>22</v>
      </c>
      <c r="B144" s="48" t="s">
        <v>76</v>
      </c>
      <c r="C144" s="48" t="s">
        <v>122</v>
      </c>
      <c r="D144" s="48" t="s">
        <v>158</v>
      </c>
      <c r="E144" s="48" t="s">
        <v>347</v>
      </c>
      <c r="F144" s="48" t="s">
        <v>47</v>
      </c>
      <c r="G144" s="50">
        <f>H144+I144+J144+K144</f>
        <v>611.7983899999999</v>
      </c>
      <c r="H144" s="50">
        <f aca="true" t="shared" si="67" ref="H144:M144">H146+H147</f>
        <v>48.37032000000001</v>
      </c>
      <c r="I144" s="50">
        <f t="shared" si="67"/>
        <v>281.37598999999994</v>
      </c>
      <c r="J144" s="50">
        <f t="shared" si="67"/>
        <v>39.67051000000001</v>
      </c>
      <c r="K144" s="50">
        <f t="shared" si="67"/>
        <v>242.38156999999998</v>
      </c>
      <c r="L144" s="45">
        <f t="shared" si="67"/>
        <v>0</v>
      </c>
      <c r="M144" s="45">
        <f t="shared" si="67"/>
        <v>0</v>
      </c>
      <c r="N144" s="31"/>
      <c r="O144" s="31"/>
    </row>
    <row r="145" spans="1:15" ht="27" customHeight="1">
      <c r="A145" s="41" t="s">
        <v>23</v>
      </c>
      <c r="B145" s="48" t="s">
        <v>76</v>
      </c>
      <c r="C145" s="48" t="s">
        <v>122</v>
      </c>
      <c r="D145" s="48" t="s">
        <v>158</v>
      </c>
      <c r="E145" s="48" t="s">
        <v>347</v>
      </c>
      <c r="F145" s="48"/>
      <c r="G145" s="50"/>
      <c r="H145" s="50"/>
      <c r="I145" s="50"/>
      <c r="J145" s="50"/>
      <c r="K145" s="50"/>
      <c r="L145" s="50"/>
      <c r="M145" s="50"/>
      <c r="N145" s="31"/>
      <c r="O145" s="31"/>
    </row>
    <row r="146" spans="1:15" ht="20.25" customHeight="1">
      <c r="A146" s="41" t="s">
        <v>24</v>
      </c>
      <c r="B146" s="48" t="s">
        <v>76</v>
      </c>
      <c r="C146" s="48" t="s">
        <v>122</v>
      </c>
      <c r="D146" s="48" t="s">
        <v>158</v>
      </c>
      <c r="E146" s="48" t="s">
        <v>347</v>
      </c>
      <c r="F146" s="48" t="s">
        <v>187</v>
      </c>
      <c r="G146" s="50">
        <f>H146+J146+I146+K146</f>
        <v>423.1410599999999</v>
      </c>
      <c r="H146" s="45">
        <f>195.2-195.2</f>
        <v>0</v>
      </c>
      <c r="I146" s="50">
        <f>68.1+195.2-22.77056</f>
        <v>240.52943999999997</v>
      </c>
      <c r="J146" s="45">
        <f>22.77056-22.77056</f>
        <v>0</v>
      </c>
      <c r="K146" s="50">
        <f>190.6+22.77056-30.75894</f>
        <v>182.61162</v>
      </c>
      <c r="L146" s="45">
        <v>0</v>
      </c>
      <c r="M146" s="45">
        <v>0</v>
      </c>
      <c r="N146" s="31"/>
      <c r="O146" s="31"/>
    </row>
    <row r="147" spans="1:15" ht="21" customHeight="1">
      <c r="A147" s="41" t="s">
        <v>25</v>
      </c>
      <c r="B147" s="48" t="s">
        <v>76</v>
      </c>
      <c r="C147" s="48" t="s">
        <v>122</v>
      </c>
      <c r="D147" s="48" t="s">
        <v>158</v>
      </c>
      <c r="E147" s="48" t="s">
        <v>347</v>
      </c>
      <c r="F147" s="48" t="s">
        <v>188</v>
      </c>
      <c r="G147" s="50">
        <f>H147+I147+J147+K147</f>
        <v>188.65733</v>
      </c>
      <c r="H147" s="50">
        <f>89.4-41.02968</f>
        <v>48.37032000000001</v>
      </c>
      <c r="I147" s="50">
        <f>59.7+41.02968-59.88313</f>
        <v>40.84655</v>
      </c>
      <c r="J147" s="50">
        <f>59.7+59.88313-79.91262</f>
        <v>39.67051000000001</v>
      </c>
      <c r="K147" s="50">
        <f>89.5+79.91262-15.48911-94.15356</f>
        <v>59.769949999999994</v>
      </c>
      <c r="L147" s="45">
        <v>0</v>
      </c>
      <c r="M147" s="45">
        <v>0</v>
      </c>
      <c r="N147" s="31"/>
      <c r="O147" s="31"/>
    </row>
    <row r="148" spans="1:15" ht="24.75" customHeight="1">
      <c r="A148" s="43" t="s">
        <v>167</v>
      </c>
      <c r="B148" s="48" t="s">
        <v>76</v>
      </c>
      <c r="C148" s="48" t="s">
        <v>122</v>
      </c>
      <c r="D148" s="48" t="s">
        <v>159</v>
      </c>
      <c r="E148" s="48" t="s">
        <v>125</v>
      </c>
      <c r="F148" s="48"/>
      <c r="G148" s="50">
        <f>H148+I148+J148+K148</f>
        <v>1159.15911</v>
      </c>
      <c r="H148" s="50">
        <f aca="true" t="shared" si="68" ref="H148:M148">H149</f>
        <v>252.24447999999998</v>
      </c>
      <c r="I148" s="50">
        <f t="shared" si="68"/>
        <v>299.30232</v>
      </c>
      <c r="J148" s="50">
        <f t="shared" si="68"/>
        <v>231.57355</v>
      </c>
      <c r="K148" s="50">
        <f t="shared" si="68"/>
        <v>376.03876</v>
      </c>
      <c r="L148" s="51">
        <f t="shared" si="68"/>
        <v>976.91</v>
      </c>
      <c r="M148" s="51">
        <f t="shared" si="68"/>
        <v>976.91</v>
      </c>
      <c r="N148" s="31"/>
      <c r="O148" s="31"/>
    </row>
    <row r="149" spans="1:15" ht="11.25" customHeight="1">
      <c r="A149" s="43" t="s">
        <v>305</v>
      </c>
      <c r="B149" s="48" t="s">
        <v>76</v>
      </c>
      <c r="C149" s="48" t="s">
        <v>122</v>
      </c>
      <c r="D149" s="48" t="s">
        <v>159</v>
      </c>
      <c r="E149" s="48" t="s">
        <v>95</v>
      </c>
      <c r="F149" s="48" t="s">
        <v>49</v>
      </c>
      <c r="G149" s="50">
        <f>H149+I149+J149+K149</f>
        <v>1159.15911</v>
      </c>
      <c r="H149" s="50">
        <f>244.2+0.2+7.84448</f>
        <v>252.24447999999998</v>
      </c>
      <c r="I149" s="50">
        <f>244.2-0.2-7.84448+34.9448+28.202</f>
        <v>299.30232</v>
      </c>
      <c r="J149" s="50">
        <f>244.2-34.9448-28.202+22.11+51.19+20+1.5-44.27965</f>
        <v>231.57355</v>
      </c>
      <c r="K149" s="50">
        <f>244.32+44.27965+55+32.43911</f>
        <v>376.03876</v>
      </c>
      <c r="L149" s="51">
        <v>976.91</v>
      </c>
      <c r="M149" s="51">
        <v>976.91</v>
      </c>
      <c r="N149" s="31"/>
      <c r="O149" s="31"/>
    </row>
    <row r="150" spans="1:15" ht="13.5" customHeight="1">
      <c r="A150" s="43" t="s">
        <v>168</v>
      </c>
      <c r="B150" s="48" t="s">
        <v>76</v>
      </c>
      <c r="C150" s="48" t="s">
        <v>122</v>
      </c>
      <c r="D150" s="48" t="s">
        <v>162</v>
      </c>
      <c r="E150" s="48" t="s">
        <v>125</v>
      </c>
      <c r="F150" s="48"/>
      <c r="G150" s="51">
        <f>H150+I150+J150+K150</f>
        <v>63.32</v>
      </c>
      <c r="H150" s="51">
        <f aca="true" t="shared" si="69" ref="H150:M150">H151</f>
        <v>51.72</v>
      </c>
      <c r="I150" s="51">
        <f t="shared" si="69"/>
        <v>5.25</v>
      </c>
      <c r="J150" s="45">
        <f t="shared" si="69"/>
        <v>0</v>
      </c>
      <c r="K150" s="51">
        <f t="shared" si="69"/>
        <v>6.35</v>
      </c>
      <c r="L150" s="45">
        <f t="shared" si="69"/>
        <v>0</v>
      </c>
      <c r="M150" s="51">
        <f t="shared" si="69"/>
        <v>100</v>
      </c>
      <c r="N150" s="31"/>
      <c r="O150" s="31"/>
    </row>
    <row r="151" spans="1:15" ht="14.25" customHeight="1">
      <c r="A151" s="43" t="s">
        <v>265</v>
      </c>
      <c r="B151" s="48" t="s">
        <v>76</v>
      </c>
      <c r="C151" s="48" t="s">
        <v>122</v>
      </c>
      <c r="D151" s="48" t="s">
        <v>162</v>
      </c>
      <c r="E151" s="48" t="s">
        <v>95</v>
      </c>
      <c r="F151" s="48" t="s">
        <v>53</v>
      </c>
      <c r="G151" s="51">
        <f>J151+K151+H151+I151</f>
        <v>63.32</v>
      </c>
      <c r="H151" s="51">
        <f>25+26.72</f>
        <v>51.72</v>
      </c>
      <c r="I151" s="51">
        <v>5.25</v>
      </c>
      <c r="J151" s="45">
        <f>25-1.72-5.25-15-3.03</f>
        <v>0</v>
      </c>
      <c r="K151" s="51">
        <f>25-19.832+1.182</f>
        <v>6.35</v>
      </c>
      <c r="L151" s="45">
        <v>0</v>
      </c>
      <c r="M151" s="51">
        <v>100</v>
      </c>
      <c r="N151" s="31"/>
      <c r="O151" s="31"/>
    </row>
    <row r="152" spans="1:15" ht="24" customHeight="1">
      <c r="A152" s="43" t="s">
        <v>163</v>
      </c>
      <c r="B152" s="48" t="s">
        <v>76</v>
      </c>
      <c r="C152" s="48" t="s">
        <v>122</v>
      </c>
      <c r="D152" s="48" t="s">
        <v>164</v>
      </c>
      <c r="E152" s="48" t="s">
        <v>125</v>
      </c>
      <c r="F152" s="48"/>
      <c r="G152" s="49">
        <f>H152+I152+J152+K152</f>
        <v>83.4322</v>
      </c>
      <c r="H152" s="45">
        <f aca="true" t="shared" si="70" ref="H152:M152">H153</f>
        <v>0</v>
      </c>
      <c r="I152" s="45">
        <f t="shared" si="70"/>
        <v>0</v>
      </c>
      <c r="J152" s="53">
        <f t="shared" si="70"/>
        <v>13.606</v>
      </c>
      <c r="K152" s="49">
        <f t="shared" si="70"/>
        <v>69.8262</v>
      </c>
      <c r="L152" s="45">
        <f t="shared" si="70"/>
        <v>0</v>
      </c>
      <c r="M152" s="45">
        <f t="shared" si="70"/>
        <v>0</v>
      </c>
      <c r="N152" s="31"/>
      <c r="O152" s="31"/>
    </row>
    <row r="153" spans="1:15" ht="11.25" customHeight="1">
      <c r="A153" s="43" t="s">
        <v>34</v>
      </c>
      <c r="B153" s="48" t="s">
        <v>76</v>
      </c>
      <c r="C153" s="48" t="s">
        <v>122</v>
      </c>
      <c r="D153" s="48" t="s">
        <v>164</v>
      </c>
      <c r="E153" s="48" t="s">
        <v>95</v>
      </c>
      <c r="F153" s="48" t="s">
        <v>348</v>
      </c>
      <c r="G153" s="49">
        <f>SUM(H153:K153)</f>
        <v>83.4322</v>
      </c>
      <c r="H153" s="45">
        <v>0</v>
      </c>
      <c r="I153" s="45">
        <v>0</v>
      </c>
      <c r="J153" s="53">
        <f>15-1.394</f>
        <v>13.606</v>
      </c>
      <c r="K153" s="49">
        <f>1.394+73.46+38.45632-43.48412</f>
        <v>69.8262</v>
      </c>
      <c r="L153" s="45">
        <v>0</v>
      </c>
      <c r="M153" s="45">
        <v>0</v>
      </c>
      <c r="N153" s="31"/>
      <c r="O153" s="31"/>
    </row>
    <row r="154" spans="1:15" ht="15.75" customHeight="1">
      <c r="A154" s="43" t="s">
        <v>166</v>
      </c>
      <c r="B154" s="48" t="s">
        <v>76</v>
      </c>
      <c r="C154" s="48" t="s">
        <v>122</v>
      </c>
      <c r="D154" s="48" t="s">
        <v>165</v>
      </c>
      <c r="E154" s="48" t="s">
        <v>125</v>
      </c>
      <c r="F154" s="48"/>
      <c r="G154" s="53">
        <f>SUM(H154:K154)</f>
        <v>286.12199999999996</v>
      </c>
      <c r="H154" s="51">
        <f aca="true" t="shared" si="71" ref="H154:M154">H155</f>
        <v>89.85999999999999</v>
      </c>
      <c r="I154" s="53">
        <f t="shared" si="71"/>
        <v>69.444</v>
      </c>
      <c r="J154" s="53">
        <f t="shared" si="71"/>
        <v>62.05799999999999</v>
      </c>
      <c r="K154" s="51">
        <f t="shared" si="71"/>
        <v>64.76</v>
      </c>
      <c r="L154" s="51">
        <f t="shared" si="71"/>
        <v>200</v>
      </c>
      <c r="M154" s="51">
        <f t="shared" si="71"/>
        <v>200</v>
      </c>
      <c r="N154" s="31"/>
      <c r="O154" s="31"/>
    </row>
    <row r="155" spans="1:15" ht="11.25" customHeight="1">
      <c r="A155" s="43" t="s">
        <v>84</v>
      </c>
      <c r="B155" s="48" t="s">
        <v>76</v>
      </c>
      <c r="C155" s="48" t="s">
        <v>122</v>
      </c>
      <c r="D155" s="48" t="s">
        <v>165</v>
      </c>
      <c r="E155" s="48" t="s">
        <v>95</v>
      </c>
      <c r="F155" s="48" t="s">
        <v>340</v>
      </c>
      <c r="G155" s="53">
        <f>SUM(H155:K155)</f>
        <v>286.12199999999996</v>
      </c>
      <c r="H155" s="51">
        <f>50+80.33-40.47</f>
        <v>89.85999999999999</v>
      </c>
      <c r="I155" s="53">
        <f>40.47+28.974</f>
        <v>69.444</v>
      </c>
      <c r="J155" s="53">
        <f>40.696+21.362+44-44</f>
        <v>62.05799999999999</v>
      </c>
      <c r="K155" s="51">
        <f>44+64.76-44</f>
        <v>64.76</v>
      </c>
      <c r="L155" s="51">
        <v>200</v>
      </c>
      <c r="M155" s="51">
        <v>200</v>
      </c>
      <c r="N155" s="31"/>
      <c r="O155" s="31"/>
    </row>
    <row r="156" spans="1:15" ht="15.75" customHeight="1">
      <c r="A156" s="43" t="s">
        <v>206</v>
      </c>
      <c r="B156" s="48" t="s">
        <v>76</v>
      </c>
      <c r="C156" s="48" t="s">
        <v>122</v>
      </c>
      <c r="D156" s="48" t="s">
        <v>207</v>
      </c>
      <c r="E156" s="48" t="s">
        <v>161</v>
      </c>
      <c r="F156" s="48"/>
      <c r="G156" s="53">
        <f>SUM(H156:K156)</f>
        <v>2.538</v>
      </c>
      <c r="H156" s="45">
        <f aca="true" t="shared" si="72" ref="H156:M156">H157</f>
        <v>0</v>
      </c>
      <c r="I156" s="45">
        <f t="shared" si="72"/>
        <v>0</v>
      </c>
      <c r="J156" s="45">
        <f t="shared" si="72"/>
        <v>0</v>
      </c>
      <c r="K156" s="53">
        <f t="shared" si="72"/>
        <v>2.538</v>
      </c>
      <c r="L156" s="45">
        <f t="shared" si="72"/>
        <v>0</v>
      </c>
      <c r="M156" s="45">
        <f t="shared" si="72"/>
        <v>0</v>
      </c>
      <c r="N156" s="31"/>
      <c r="O156" s="31"/>
    </row>
    <row r="157" spans="1:15" ht="18.75" customHeight="1">
      <c r="A157" s="41" t="s">
        <v>257</v>
      </c>
      <c r="B157" s="48" t="s">
        <v>76</v>
      </c>
      <c r="C157" s="48" t="s">
        <v>122</v>
      </c>
      <c r="D157" s="48" t="s">
        <v>207</v>
      </c>
      <c r="E157" s="48" t="s">
        <v>123</v>
      </c>
      <c r="F157" s="48" t="s">
        <v>269</v>
      </c>
      <c r="G157" s="53">
        <f aca="true" t="shared" si="73" ref="G157:G167">H157+I157+J157+K157</f>
        <v>2.538</v>
      </c>
      <c r="H157" s="45">
        <v>0</v>
      </c>
      <c r="I157" s="45">
        <v>0</v>
      </c>
      <c r="J157" s="45">
        <v>0</v>
      </c>
      <c r="K157" s="53">
        <v>2.538</v>
      </c>
      <c r="L157" s="45">
        <v>0</v>
      </c>
      <c r="M157" s="45">
        <v>0</v>
      </c>
      <c r="N157" s="31"/>
      <c r="O157" s="31"/>
    </row>
    <row r="158" spans="1:15" ht="43.5" customHeight="1">
      <c r="A158" s="62" t="s">
        <v>192</v>
      </c>
      <c r="B158" s="55" t="s">
        <v>76</v>
      </c>
      <c r="C158" s="55" t="s">
        <v>122</v>
      </c>
      <c r="D158" s="55" t="s">
        <v>193</v>
      </c>
      <c r="E158" s="55" t="s">
        <v>59</v>
      </c>
      <c r="F158" s="55"/>
      <c r="G158" s="56">
        <f t="shared" si="73"/>
        <v>986.99218</v>
      </c>
      <c r="H158" s="56">
        <f aca="true" t="shared" si="74" ref="H158:M158">H159+H165</f>
        <v>240.998</v>
      </c>
      <c r="I158" s="56">
        <f t="shared" si="74"/>
        <v>249.62616000000003</v>
      </c>
      <c r="J158" s="56">
        <f t="shared" si="74"/>
        <v>249.20022</v>
      </c>
      <c r="K158" s="56">
        <f t="shared" si="74"/>
        <v>247.1678</v>
      </c>
      <c r="L158" s="56">
        <f t="shared" si="74"/>
        <v>972</v>
      </c>
      <c r="M158" s="56">
        <f t="shared" si="74"/>
        <v>972</v>
      </c>
      <c r="N158" s="31"/>
      <c r="O158" s="31"/>
    </row>
    <row r="159" spans="1:15" ht="55.5" customHeight="1">
      <c r="A159" s="43" t="s">
        <v>192</v>
      </c>
      <c r="B159" s="48" t="s">
        <v>76</v>
      </c>
      <c r="C159" s="48" t="s">
        <v>122</v>
      </c>
      <c r="D159" s="48" t="s">
        <v>193</v>
      </c>
      <c r="E159" s="55" t="s">
        <v>125</v>
      </c>
      <c r="F159" s="55"/>
      <c r="G159" s="56">
        <f t="shared" si="73"/>
        <v>22.93618</v>
      </c>
      <c r="H159" s="60">
        <f aca="true" t="shared" si="75" ref="H159:M159">H160+H162</f>
        <v>0</v>
      </c>
      <c r="I159" s="56">
        <f t="shared" si="75"/>
        <v>8.55816</v>
      </c>
      <c r="J159" s="56">
        <f t="shared" si="75"/>
        <v>8.204220000000001</v>
      </c>
      <c r="K159" s="59">
        <f t="shared" si="75"/>
        <v>6.1738</v>
      </c>
      <c r="L159" s="58">
        <f t="shared" si="75"/>
        <v>8</v>
      </c>
      <c r="M159" s="58">
        <f t="shared" si="75"/>
        <v>8</v>
      </c>
      <c r="N159" s="31"/>
      <c r="O159" s="31"/>
    </row>
    <row r="160" spans="1:15" ht="18" customHeight="1">
      <c r="A160" s="43" t="s">
        <v>23</v>
      </c>
      <c r="B160" s="48" t="s">
        <v>76</v>
      </c>
      <c r="C160" s="48" t="s">
        <v>122</v>
      </c>
      <c r="D160" s="48" t="s">
        <v>193</v>
      </c>
      <c r="E160" s="48" t="s">
        <v>95</v>
      </c>
      <c r="F160" s="48"/>
      <c r="G160" s="56">
        <f t="shared" si="73"/>
        <v>4.9176400000000005</v>
      </c>
      <c r="H160" s="45">
        <f aca="true" t="shared" si="76" ref="H160:M160">H161</f>
        <v>0</v>
      </c>
      <c r="I160" s="50">
        <f t="shared" si="76"/>
        <v>4.9176400000000005</v>
      </c>
      <c r="J160" s="45">
        <f t="shared" si="76"/>
        <v>0</v>
      </c>
      <c r="K160" s="45">
        <f t="shared" si="76"/>
        <v>0</v>
      </c>
      <c r="L160" s="51">
        <f t="shared" si="76"/>
        <v>5.7</v>
      </c>
      <c r="M160" s="51">
        <f t="shared" si="76"/>
        <v>5.7</v>
      </c>
      <c r="N160" s="31"/>
      <c r="O160" s="31"/>
    </row>
    <row r="161" spans="1:15" ht="18" customHeight="1">
      <c r="A161" s="41" t="s">
        <v>308</v>
      </c>
      <c r="B161" s="48" t="s">
        <v>76</v>
      </c>
      <c r="C161" s="48" t="s">
        <v>122</v>
      </c>
      <c r="D161" s="48" t="s">
        <v>193</v>
      </c>
      <c r="E161" s="48" t="s">
        <v>95</v>
      </c>
      <c r="F161" s="48" t="s">
        <v>48</v>
      </c>
      <c r="G161" s="49">
        <f t="shared" si="73"/>
        <v>4.9176400000000005</v>
      </c>
      <c r="H161" s="45">
        <f>1.4-1.4</f>
        <v>0</v>
      </c>
      <c r="I161" s="49">
        <f>1.4+1.4+2.11764</f>
        <v>4.9176400000000005</v>
      </c>
      <c r="J161" s="45">
        <f>1.4-1.4</f>
        <v>0</v>
      </c>
      <c r="K161" s="45">
        <f>1.4-0.71764-0.07-0.61236</f>
        <v>0</v>
      </c>
      <c r="L161" s="51">
        <v>5.7</v>
      </c>
      <c r="M161" s="51">
        <v>5.7</v>
      </c>
      <c r="N161" s="31"/>
      <c r="O161" s="31"/>
    </row>
    <row r="162" spans="1:15" ht="18" customHeight="1">
      <c r="A162" s="43" t="s">
        <v>23</v>
      </c>
      <c r="B162" s="48" t="s">
        <v>76</v>
      </c>
      <c r="C162" s="48" t="s">
        <v>122</v>
      </c>
      <c r="D162" s="48" t="s">
        <v>193</v>
      </c>
      <c r="E162" s="48" t="s">
        <v>347</v>
      </c>
      <c r="F162" s="48"/>
      <c r="G162" s="50">
        <f t="shared" si="73"/>
        <v>18.01854</v>
      </c>
      <c r="H162" s="45">
        <f aca="true" t="shared" si="77" ref="H162:M162">H163+H164</f>
        <v>0</v>
      </c>
      <c r="I162" s="50">
        <f t="shared" si="77"/>
        <v>3.6405199999999995</v>
      </c>
      <c r="J162" s="50">
        <f t="shared" si="77"/>
        <v>8.204220000000001</v>
      </c>
      <c r="K162" s="49">
        <f t="shared" si="77"/>
        <v>6.1738</v>
      </c>
      <c r="L162" s="51">
        <f t="shared" si="77"/>
        <v>2.3</v>
      </c>
      <c r="M162" s="51">
        <f t="shared" si="77"/>
        <v>2.3</v>
      </c>
      <c r="N162" s="31"/>
      <c r="O162" s="31"/>
    </row>
    <row r="163" spans="1:15" ht="18" customHeight="1">
      <c r="A163" s="43" t="s">
        <v>349</v>
      </c>
      <c r="B163" s="48" t="s">
        <v>76</v>
      </c>
      <c r="C163" s="48" t="s">
        <v>122</v>
      </c>
      <c r="D163" s="48" t="s">
        <v>193</v>
      </c>
      <c r="E163" s="48" t="s">
        <v>347</v>
      </c>
      <c r="F163" s="48" t="s">
        <v>188</v>
      </c>
      <c r="G163" s="49">
        <f t="shared" si="73"/>
        <v>15.9851</v>
      </c>
      <c r="H163" s="45">
        <v>0</v>
      </c>
      <c r="I163" s="50">
        <f>16-13.37471</f>
        <v>2.6252899999999997</v>
      </c>
      <c r="J163" s="50">
        <f>13.37471-6.1887</f>
        <v>7.1860100000000005</v>
      </c>
      <c r="K163" s="49">
        <f>6.1887-0.0149</f>
        <v>6.1738</v>
      </c>
      <c r="L163" s="45">
        <v>0</v>
      </c>
      <c r="M163" s="45">
        <v>0</v>
      </c>
      <c r="N163" s="31"/>
      <c r="O163" s="31"/>
    </row>
    <row r="164" spans="1:15" ht="18" customHeight="1">
      <c r="A164" s="43" t="s">
        <v>22</v>
      </c>
      <c r="B164" s="48" t="s">
        <v>76</v>
      </c>
      <c r="C164" s="48" t="s">
        <v>122</v>
      </c>
      <c r="D164" s="48" t="s">
        <v>193</v>
      </c>
      <c r="E164" s="48" t="s">
        <v>347</v>
      </c>
      <c r="F164" s="48" t="s">
        <v>191</v>
      </c>
      <c r="G164" s="50">
        <f t="shared" si="73"/>
        <v>2.03344</v>
      </c>
      <c r="H164" s="45">
        <f>0.5-0.5</f>
        <v>0</v>
      </c>
      <c r="I164" s="50">
        <f>0.6+0.5-0.08477</f>
        <v>1.01523</v>
      </c>
      <c r="J164" s="50">
        <f>0.6+0.08477+0.33344</f>
        <v>1.01821</v>
      </c>
      <c r="K164" s="45">
        <f>0.6-0.33344-0.26656</f>
        <v>0</v>
      </c>
      <c r="L164" s="51">
        <v>2.3</v>
      </c>
      <c r="M164" s="51">
        <v>2.3</v>
      </c>
      <c r="N164" s="31"/>
      <c r="O164" s="31"/>
    </row>
    <row r="165" spans="1:15" ht="47.25" customHeight="1">
      <c r="A165" s="43" t="s">
        <v>309</v>
      </c>
      <c r="B165" s="48" t="s">
        <v>76</v>
      </c>
      <c r="C165" s="48" t="s">
        <v>122</v>
      </c>
      <c r="D165" s="48" t="s">
        <v>193</v>
      </c>
      <c r="E165" s="55" t="s">
        <v>128</v>
      </c>
      <c r="F165" s="48"/>
      <c r="G165" s="57">
        <f t="shared" si="73"/>
        <v>964.056</v>
      </c>
      <c r="H165" s="57">
        <f aca="true" t="shared" si="78" ref="H165:M165">H166+H168</f>
        <v>240.998</v>
      </c>
      <c r="I165" s="57">
        <f t="shared" si="78"/>
        <v>241.068</v>
      </c>
      <c r="J165" s="57">
        <f t="shared" si="78"/>
        <v>240.996</v>
      </c>
      <c r="K165" s="57">
        <f t="shared" si="78"/>
        <v>240.994</v>
      </c>
      <c r="L165" s="58">
        <f t="shared" si="78"/>
        <v>964</v>
      </c>
      <c r="M165" s="58">
        <f t="shared" si="78"/>
        <v>964</v>
      </c>
      <c r="N165" s="31"/>
      <c r="O165" s="31"/>
    </row>
    <row r="166" spans="1:15" ht="42" customHeight="1">
      <c r="A166" s="61" t="s">
        <v>350</v>
      </c>
      <c r="B166" s="48" t="s">
        <v>76</v>
      </c>
      <c r="C166" s="48" t="s">
        <v>122</v>
      </c>
      <c r="D166" s="48" t="s">
        <v>193</v>
      </c>
      <c r="E166" s="55" t="s">
        <v>351</v>
      </c>
      <c r="F166" s="48"/>
      <c r="G166" s="58">
        <f t="shared" si="73"/>
        <v>0.07</v>
      </c>
      <c r="H166" s="60">
        <f aca="true" t="shared" si="79" ref="H166:M166">H167</f>
        <v>0</v>
      </c>
      <c r="I166" s="58">
        <f t="shared" si="79"/>
        <v>0.07</v>
      </c>
      <c r="J166" s="60">
        <f t="shared" si="79"/>
        <v>0</v>
      </c>
      <c r="K166" s="60">
        <f t="shared" si="79"/>
        <v>0</v>
      </c>
      <c r="L166" s="60">
        <f t="shared" si="79"/>
        <v>0</v>
      </c>
      <c r="M166" s="60">
        <f t="shared" si="79"/>
        <v>0</v>
      </c>
      <c r="N166" s="31"/>
      <c r="O166" s="31"/>
    </row>
    <row r="167" spans="1:15" ht="42" customHeight="1">
      <c r="A167" s="43" t="s">
        <v>352</v>
      </c>
      <c r="B167" s="48" t="s">
        <v>76</v>
      </c>
      <c r="C167" s="48" t="s">
        <v>122</v>
      </c>
      <c r="D167" s="48" t="s">
        <v>193</v>
      </c>
      <c r="E167" s="48" t="s">
        <v>209</v>
      </c>
      <c r="F167" s="48" t="s">
        <v>269</v>
      </c>
      <c r="G167" s="51">
        <f t="shared" si="73"/>
        <v>0.07</v>
      </c>
      <c r="H167" s="45">
        <v>0</v>
      </c>
      <c r="I167" s="51">
        <v>0.07</v>
      </c>
      <c r="J167" s="45">
        <v>0</v>
      </c>
      <c r="K167" s="45">
        <v>0</v>
      </c>
      <c r="L167" s="45">
        <v>0</v>
      </c>
      <c r="M167" s="45">
        <v>0</v>
      </c>
      <c r="N167" s="31"/>
      <c r="O167" s="31"/>
    </row>
    <row r="168" spans="1:15" ht="16.5" customHeight="1">
      <c r="A168" s="61" t="s">
        <v>353</v>
      </c>
      <c r="B168" s="48" t="s">
        <v>76</v>
      </c>
      <c r="C168" s="48" t="s">
        <v>122</v>
      </c>
      <c r="D168" s="48" t="s">
        <v>193</v>
      </c>
      <c r="E168" s="55" t="s">
        <v>161</v>
      </c>
      <c r="F168" s="48"/>
      <c r="G168" s="57">
        <f>G169</f>
        <v>963.986</v>
      </c>
      <c r="H168" s="57">
        <f aca="true" t="shared" si="80" ref="H168:M168">H169</f>
        <v>240.998</v>
      </c>
      <c r="I168" s="57">
        <f t="shared" si="80"/>
        <v>240.99800000000002</v>
      </c>
      <c r="J168" s="57">
        <f t="shared" si="80"/>
        <v>240.996</v>
      </c>
      <c r="K168" s="57">
        <f t="shared" si="80"/>
        <v>240.994</v>
      </c>
      <c r="L168" s="58">
        <f t="shared" si="80"/>
        <v>964</v>
      </c>
      <c r="M168" s="58">
        <f t="shared" si="80"/>
        <v>964</v>
      </c>
      <c r="N168" s="31"/>
      <c r="O168" s="31"/>
    </row>
    <row r="169" spans="1:15" ht="32.25" customHeight="1">
      <c r="A169" s="43" t="s">
        <v>255</v>
      </c>
      <c r="B169" s="48" t="s">
        <v>76</v>
      </c>
      <c r="C169" s="48" t="s">
        <v>122</v>
      </c>
      <c r="D169" s="48" t="s">
        <v>193</v>
      </c>
      <c r="E169" s="48" t="s">
        <v>104</v>
      </c>
      <c r="F169" s="48" t="s">
        <v>269</v>
      </c>
      <c r="G169" s="53">
        <f>H169+I169+J169+K169</f>
        <v>963.986</v>
      </c>
      <c r="H169" s="53">
        <f>241-0.002</f>
        <v>240.998</v>
      </c>
      <c r="I169" s="53">
        <f>241+0.002-0.004</f>
        <v>240.99800000000002</v>
      </c>
      <c r="J169" s="53">
        <f>241-16.797-40+56.793</f>
        <v>240.996</v>
      </c>
      <c r="K169" s="53">
        <f>241-56.793-30+86.787</f>
        <v>240.994</v>
      </c>
      <c r="L169" s="51">
        <v>964</v>
      </c>
      <c r="M169" s="51">
        <v>964</v>
      </c>
      <c r="N169" s="31"/>
      <c r="O169" s="31"/>
    </row>
    <row r="170" spans="1:15" ht="60" customHeight="1">
      <c r="A170" s="43" t="s">
        <v>354</v>
      </c>
      <c r="B170" s="55" t="s">
        <v>76</v>
      </c>
      <c r="C170" s="55" t="s">
        <v>122</v>
      </c>
      <c r="D170" s="55" t="s">
        <v>180</v>
      </c>
      <c r="E170" s="55" t="s">
        <v>125</v>
      </c>
      <c r="F170" s="55"/>
      <c r="G170" s="58">
        <f>H170+I170+J170+K170</f>
        <v>1300</v>
      </c>
      <c r="H170" s="56">
        <f aca="true" t="shared" si="81" ref="H170:M170">H171</f>
        <v>84.4662</v>
      </c>
      <c r="I170" s="56">
        <f t="shared" si="81"/>
        <v>402.18742</v>
      </c>
      <c r="J170" s="56">
        <f t="shared" si="81"/>
        <v>161.9178</v>
      </c>
      <c r="K170" s="56">
        <f t="shared" si="81"/>
        <v>651.42858</v>
      </c>
      <c r="L170" s="56">
        <f t="shared" si="81"/>
        <v>325.32964</v>
      </c>
      <c r="M170" s="58">
        <f t="shared" si="81"/>
        <v>700</v>
      </c>
      <c r="N170" s="31"/>
      <c r="O170" s="31"/>
    </row>
    <row r="171" spans="1:15" ht="16.5" customHeight="1">
      <c r="A171" s="43" t="s">
        <v>305</v>
      </c>
      <c r="B171" s="48" t="s">
        <v>76</v>
      </c>
      <c r="C171" s="48" t="s">
        <v>122</v>
      </c>
      <c r="D171" s="48" t="s">
        <v>180</v>
      </c>
      <c r="E171" s="48" t="s">
        <v>95</v>
      </c>
      <c r="F171" s="48" t="s">
        <v>49</v>
      </c>
      <c r="G171" s="51">
        <f>H171+I171+J171+K171</f>
        <v>1300</v>
      </c>
      <c r="H171" s="50">
        <f>175-90.5338</f>
        <v>84.4662</v>
      </c>
      <c r="I171" s="50">
        <f>175+90.5338+33.10469+103.54893</f>
        <v>402.18742</v>
      </c>
      <c r="J171" s="50">
        <f>175-33.10469-103.54893+150+100-126.42858</f>
        <v>161.9178</v>
      </c>
      <c r="K171" s="50">
        <f>175-150+126.42858+500</f>
        <v>651.42858</v>
      </c>
      <c r="L171" s="50">
        <f>700-374.67036</f>
        <v>325.32964</v>
      </c>
      <c r="M171" s="51">
        <v>700</v>
      </c>
      <c r="N171" s="31"/>
      <c r="O171" s="31"/>
    </row>
    <row r="172" spans="1:20" ht="36" customHeight="1">
      <c r="A172" s="62" t="s">
        <v>357</v>
      </c>
      <c r="B172" s="55" t="s">
        <v>76</v>
      </c>
      <c r="C172" s="55" t="s">
        <v>56</v>
      </c>
      <c r="D172" s="55" t="s">
        <v>151</v>
      </c>
      <c r="E172" s="55" t="s">
        <v>59</v>
      </c>
      <c r="F172" s="55"/>
      <c r="G172" s="58">
        <f>H172+I172+J172+K172</f>
        <v>709.3</v>
      </c>
      <c r="H172" s="56">
        <f aca="true" t="shared" si="82" ref="H172:M172">H173+H178</f>
        <v>139.89521000000002</v>
      </c>
      <c r="I172" s="56">
        <f t="shared" si="82"/>
        <v>126.75538999999998</v>
      </c>
      <c r="J172" s="56">
        <f t="shared" si="82"/>
        <v>113.22246</v>
      </c>
      <c r="K172" s="56">
        <f>K173+K178</f>
        <v>329.42694</v>
      </c>
      <c r="L172" s="58">
        <f t="shared" si="82"/>
        <v>725.5</v>
      </c>
      <c r="M172" s="58">
        <f t="shared" si="82"/>
        <v>742.3</v>
      </c>
      <c r="N172" s="31"/>
      <c r="O172" s="31"/>
      <c r="S172" s="8">
        <v>610.7</v>
      </c>
      <c r="T172" s="8">
        <v>652.5</v>
      </c>
    </row>
    <row r="173" spans="1:15" ht="105.75" customHeight="1">
      <c r="A173" s="61" t="s">
        <v>310</v>
      </c>
      <c r="B173" s="48" t="s">
        <v>76</v>
      </c>
      <c r="C173" s="48" t="s">
        <v>56</v>
      </c>
      <c r="D173" s="48" t="s">
        <v>147</v>
      </c>
      <c r="E173" s="55" t="s">
        <v>127</v>
      </c>
      <c r="F173" s="55"/>
      <c r="G173" s="56">
        <f>H173+I173+J173+K173</f>
        <v>594.6250600000001</v>
      </c>
      <c r="H173" s="56">
        <f aca="true" t="shared" si="83" ref="H173:M173">H174</f>
        <v>134.57042</v>
      </c>
      <c r="I173" s="56">
        <f t="shared" si="83"/>
        <v>110.50960999999998</v>
      </c>
      <c r="J173" s="56">
        <f t="shared" si="83"/>
        <v>111.46445</v>
      </c>
      <c r="K173" s="56">
        <f t="shared" si="83"/>
        <v>238.08058</v>
      </c>
      <c r="L173" s="58">
        <f t="shared" si="83"/>
        <v>599.6</v>
      </c>
      <c r="M173" s="58">
        <f t="shared" si="83"/>
        <v>599.6</v>
      </c>
      <c r="N173" s="31"/>
      <c r="O173" s="31"/>
    </row>
    <row r="174" spans="1:15" ht="14.25" customHeight="1">
      <c r="A174" s="43" t="s">
        <v>15</v>
      </c>
      <c r="B174" s="48" t="s">
        <v>76</v>
      </c>
      <c r="C174" s="48" t="s">
        <v>56</v>
      </c>
      <c r="D174" s="48" t="s">
        <v>147</v>
      </c>
      <c r="E174" s="48" t="s">
        <v>88</v>
      </c>
      <c r="F174" s="48" t="s">
        <v>39</v>
      </c>
      <c r="G174" s="50">
        <f aca="true" t="shared" si="84" ref="G174:M174">G175+G177</f>
        <v>594.62506</v>
      </c>
      <c r="H174" s="50">
        <f t="shared" si="84"/>
        <v>134.57042</v>
      </c>
      <c r="I174" s="50">
        <f t="shared" si="84"/>
        <v>110.50960999999998</v>
      </c>
      <c r="J174" s="50">
        <f t="shared" si="84"/>
        <v>111.46445</v>
      </c>
      <c r="K174" s="50">
        <f t="shared" si="84"/>
        <v>238.08058</v>
      </c>
      <c r="L174" s="51">
        <f t="shared" si="84"/>
        <v>599.6</v>
      </c>
      <c r="M174" s="51">
        <f t="shared" si="84"/>
        <v>599.6</v>
      </c>
      <c r="N174" s="31"/>
      <c r="O174" s="31"/>
    </row>
    <row r="175" spans="1:15" ht="15" customHeight="1">
      <c r="A175" s="41" t="s">
        <v>16</v>
      </c>
      <c r="B175" s="48" t="s">
        <v>76</v>
      </c>
      <c r="C175" s="48" t="s">
        <v>56</v>
      </c>
      <c r="D175" s="48" t="s">
        <v>147</v>
      </c>
      <c r="E175" s="48" t="s">
        <v>89</v>
      </c>
      <c r="F175" s="48" t="s">
        <v>40</v>
      </c>
      <c r="G175" s="50">
        <f>H175+I175+J175+K175</f>
        <v>457.37811</v>
      </c>
      <c r="H175" s="50">
        <f>92.1+11.56412</f>
        <v>103.66412</v>
      </c>
      <c r="I175" s="50">
        <f>115.1-11.56412-14.1037</f>
        <v>89.43217999999999</v>
      </c>
      <c r="J175" s="50">
        <f>115.1+14.1037-46.03989</f>
        <v>83.16381</v>
      </c>
      <c r="K175" s="50">
        <f>138.2+46.03989-3.12189</f>
        <v>181.118</v>
      </c>
      <c r="L175" s="51">
        <v>460.5</v>
      </c>
      <c r="M175" s="51">
        <v>460.5</v>
      </c>
      <c r="N175" s="31"/>
      <c r="O175" s="31"/>
    </row>
    <row r="176" spans="1:15" ht="14.25" customHeight="1" hidden="1">
      <c r="A176" s="41" t="s">
        <v>17</v>
      </c>
      <c r="B176" s="48" t="s">
        <v>76</v>
      </c>
      <c r="C176" s="48" t="s">
        <v>56</v>
      </c>
      <c r="D176" s="48" t="s">
        <v>147</v>
      </c>
      <c r="E176" s="48" t="s">
        <v>94</v>
      </c>
      <c r="F176" s="48" t="s">
        <v>41</v>
      </c>
      <c r="G176" s="50"/>
      <c r="H176" s="50"/>
      <c r="I176" s="50"/>
      <c r="J176" s="50"/>
      <c r="K176" s="50"/>
      <c r="L176" s="51"/>
      <c r="M176" s="51"/>
      <c r="N176" s="31"/>
      <c r="O176" s="31"/>
    </row>
    <row r="177" spans="1:15" ht="12.75" customHeight="1">
      <c r="A177" s="41" t="s">
        <v>18</v>
      </c>
      <c r="B177" s="48" t="s">
        <v>76</v>
      </c>
      <c r="C177" s="48" t="s">
        <v>56</v>
      </c>
      <c r="D177" s="48" t="s">
        <v>147</v>
      </c>
      <c r="E177" s="48" t="s">
        <v>204</v>
      </c>
      <c r="F177" s="48" t="s">
        <v>42</v>
      </c>
      <c r="G177" s="50">
        <f>H177+I177+J177+K177</f>
        <v>137.24695</v>
      </c>
      <c r="H177" s="50">
        <f>27.8+3.1063</f>
        <v>30.9063</v>
      </c>
      <c r="I177" s="50">
        <f>34.8-3.1063-10.61627</f>
        <v>21.077429999999996</v>
      </c>
      <c r="J177" s="50">
        <f>34.8+10.61627-17.11563</f>
        <v>28.300639999999998</v>
      </c>
      <c r="K177" s="50">
        <f>41.7+17.11563-1.85305</f>
        <v>56.962579999999996</v>
      </c>
      <c r="L177" s="51">
        <v>139.1</v>
      </c>
      <c r="M177" s="51">
        <v>139.1</v>
      </c>
      <c r="N177" s="31"/>
      <c r="O177" s="31"/>
    </row>
    <row r="178" spans="1:15" ht="66" customHeight="1">
      <c r="A178" s="61" t="s">
        <v>311</v>
      </c>
      <c r="B178" s="48" t="s">
        <v>76</v>
      </c>
      <c r="C178" s="48" t="s">
        <v>56</v>
      </c>
      <c r="D178" s="48" t="s">
        <v>147</v>
      </c>
      <c r="E178" s="55" t="s">
        <v>125</v>
      </c>
      <c r="F178" s="48"/>
      <c r="G178" s="56">
        <f>H178+I178+J178+K178</f>
        <v>114.67494</v>
      </c>
      <c r="H178" s="56">
        <f aca="true" t="shared" si="85" ref="H178:M178">H179+H187</f>
        <v>5.32479</v>
      </c>
      <c r="I178" s="56">
        <f t="shared" si="85"/>
        <v>16.24578</v>
      </c>
      <c r="J178" s="56">
        <f t="shared" si="85"/>
        <v>1.75801</v>
      </c>
      <c r="K178" s="56">
        <f t="shared" si="85"/>
        <v>91.34636</v>
      </c>
      <c r="L178" s="56">
        <f t="shared" si="85"/>
        <v>125.9</v>
      </c>
      <c r="M178" s="56">
        <f t="shared" si="85"/>
        <v>142.7</v>
      </c>
      <c r="N178" s="31"/>
      <c r="O178" s="31"/>
    </row>
    <row r="179" spans="1:15" ht="12.75" customHeight="1">
      <c r="A179" s="61" t="s">
        <v>23</v>
      </c>
      <c r="B179" s="55" t="s">
        <v>76</v>
      </c>
      <c r="C179" s="55" t="s">
        <v>56</v>
      </c>
      <c r="D179" s="55" t="s">
        <v>147</v>
      </c>
      <c r="E179" s="55" t="s">
        <v>95</v>
      </c>
      <c r="F179" s="55"/>
      <c r="G179" s="56">
        <f>H179+I179+J179+K179</f>
        <v>103.74891</v>
      </c>
      <c r="H179" s="56">
        <f aca="true" t="shared" si="86" ref="H179:M179">H180+H181+H184</f>
        <v>1.70545</v>
      </c>
      <c r="I179" s="56">
        <f t="shared" si="86"/>
        <v>13.65296</v>
      </c>
      <c r="J179" s="56">
        <f t="shared" si="86"/>
        <v>1.75801</v>
      </c>
      <c r="K179" s="56">
        <f t="shared" si="86"/>
        <v>86.63249</v>
      </c>
      <c r="L179" s="56">
        <f t="shared" si="86"/>
        <v>116.7</v>
      </c>
      <c r="M179" s="56">
        <f t="shared" si="86"/>
        <v>133.1</v>
      </c>
      <c r="N179" s="31"/>
      <c r="O179" s="31"/>
    </row>
    <row r="180" spans="1:15" ht="12.75" customHeight="1">
      <c r="A180" s="41" t="s">
        <v>20</v>
      </c>
      <c r="B180" s="48" t="s">
        <v>76</v>
      </c>
      <c r="C180" s="48" t="s">
        <v>56</v>
      </c>
      <c r="D180" s="48" t="s">
        <v>147</v>
      </c>
      <c r="E180" s="48" t="s">
        <v>95</v>
      </c>
      <c r="F180" s="48" t="s">
        <v>45</v>
      </c>
      <c r="G180" s="50">
        <f>H180+I180+J180+K180</f>
        <v>6.179690000000001</v>
      </c>
      <c r="H180" s="49">
        <f>1+0.38+0.3056</f>
        <v>1.6856</v>
      </c>
      <c r="I180" s="50">
        <f>1-0.38-0.3056+0.2064+0.83719-0.13632</f>
        <v>1.22167</v>
      </c>
      <c r="J180" s="50">
        <f>1-0.2064+0.13632+0.44461+0.30701</f>
        <v>1.68154</v>
      </c>
      <c r="K180" s="50">
        <f>1-0.30701+0.89789</f>
        <v>1.5908799999999998</v>
      </c>
      <c r="L180" s="51">
        <v>4.1</v>
      </c>
      <c r="M180" s="51">
        <v>4.3</v>
      </c>
      <c r="N180" s="31"/>
      <c r="O180" s="31"/>
    </row>
    <row r="181" spans="1:15" ht="12.75" customHeight="1">
      <c r="A181" s="41" t="s">
        <v>22</v>
      </c>
      <c r="B181" s="48" t="s">
        <v>76</v>
      </c>
      <c r="C181" s="48" t="s">
        <v>56</v>
      </c>
      <c r="D181" s="48" t="s">
        <v>147</v>
      </c>
      <c r="E181" s="48" t="s">
        <v>95</v>
      </c>
      <c r="F181" s="48" t="s">
        <v>47</v>
      </c>
      <c r="G181" s="50">
        <f>H181+I181+J181+K181</f>
        <v>0.33165000000000006</v>
      </c>
      <c r="H181" s="50">
        <f aca="true" t="shared" si="87" ref="H181:M181">H183</f>
        <v>0.019850000000000007</v>
      </c>
      <c r="I181" s="50">
        <f t="shared" si="87"/>
        <v>0.13329000000000002</v>
      </c>
      <c r="J181" s="50">
        <f t="shared" si="87"/>
        <v>0.07647000000000001</v>
      </c>
      <c r="K181" s="50">
        <f t="shared" si="87"/>
        <v>0.10204</v>
      </c>
      <c r="L181" s="51">
        <f t="shared" si="87"/>
        <v>0.3</v>
      </c>
      <c r="M181" s="51">
        <f t="shared" si="87"/>
        <v>0.4</v>
      </c>
      <c r="N181" s="31"/>
      <c r="O181" s="31"/>
    </row>
    <row r="182" spans="1:15" ht="12.75" customHeight="1">
      <c r="A182" s="41" t="s">
        <v>23</v>
      </c>
      <c r="B182" s="48" t="s">
        <v>76</v>
      </c>
      <c r="C182" s="48" t="s">
        <v>56</v>
      </c>
      <c r="D182" s="48" t="s">
        <v>147</v>
      </c>
      <c r="E182" s="48" t="s">
        <v>95</v>
      </c>
      <c r="F182" s="48"/>
      <c r="G182" s="50"/>
      <c r="H182" s="50"/>
      <c r="I182" s="50"/>
      <c r="J182" s="50"/>
      <c r="K182" s="50"/>
      <c r="L182" s="51">
        <f>L183</f>
        <v>0.3</v>
      </c>
      <c r="M182" s="51">
        <f>M183</f>
        <v>0.4</v>
      </c>
      <c r="N182" s="31"/>
      <c r="O182" s="31"/>
    </row>
    <row r="183" spans="1:15" ht="12.75" customHeight="1">
      <c r="A183" s="41" t="s">
        <v>26</v>
      </c>
      <c r="B183" s="48" t="s">
        <v>76</v>
      </c>
      <c r="C183" s="48" t="s">
        <v>56</v>
      </c>
      <c r="D183" s="48" t="s">
        <v>147</v>
      </c>
      <c r="E183" s="48" t="s">
        <v>95</v>
      </c>
      <c r="F183" s="48" t="s">
        <v>189</v>
      </c>
      <c r="G183" s="50">
        <f>H183+I183+J183+K183</f>
        <v>0.33165000000000006</v>
      </c>
      <c r="H183" s="50">
        <f>0.07-0.05015</f>
        <v>0.019850000000000007</v>
      </c>
      <c r="I183" s="50">
        <f>0.07+0.05015+0.01314</f>
        <v>0.13329000000000002</v>
      </c>
      <c r="J183" s="50">
        <f>0.08-0.01314+0.00961</f>
        <v>0.07647000000000001</v>
      </c>
      <c r="K183" s="50">
        <f>0.08-0.00961+0.03165</f>
        <v>0.10204</v>
      </c>
      <c r="L183" s="51">
        <v>0.3</v>
      </c>
      <c r="M183" s="51">
        <v>0.4</v>
      </c>
      <c r="N183" s="31"/>
      <c r="O183" s="31"/>
    </row>
    <row r="184" spans="1:15" ht="18" customHeight="1">
      <c r="A184" s="43" t="s">
        <v>31</v>
      </c>
      <c r="B184" s="48" t="s">
        <v>76</v>
      </c>
      <c r="C184" s="48" t="s">
        <v>56</v>
      </c>
      <c r="D184" s="48" t="s">
        <v>147</v>
      </c>
      <c r="E184" s="48" t="s">
        <v>96</v>
      </c>
      <c r="F184" s="48" t="s">
        <v>52</v>
      </c>
      <c r="G184" s="50">
        <f>H184+I184+J184+K184</f>
        <v>97.23757</v>
      </c>
      <c r="H184" s="45">
        <f aca="true" t="shared" si="88" ref="H184:M184">H186+H185</f>
        <v>0</v>
      </c>
      <c r="I184" s="53">
        <f t="shared" si="88"/>
        <v>12.298</v>
      </c>
      <c r="J184" s="45">
        <f t="shared" si="88"/>
        <v>0</v>
      </c>
      <c r="K184" s="50">
        <f t="shared" si="88"/>
        <v>84.93957</v>
      </c>
      <c r="L184" s="51">
        <f t="shared" si="88"/>
        <v>112.3</v>
      </c>
      <c r="M184" s="51">
        <f t="shared" si="88"/>
        <v>128.4</v>
      </c>
      <c r="N184" s="31"/>
      <c r="O184" s="31"/>
    </row>
    <row r="185" spans="1:15" ht="12.75" customHeight="1">
      <c r="A185" s="43" t="s">
        <v>265</v>
      </c>
      <c r="B185" s="48" t="s">
        <v>76</v>
      </c>
      <c r="C185" s="48" t="s">
        <v>56</v>
      </c>
      <c r="D185" s="48" t="s">
        <v>147</v>
      </c>
      <c r="E185" s="48" t="s">
        <v>95</v>
      </c>
      <c r="F185" s="48" t="s">
        <v>53</v>
      </c>
      <c r="G185" s="50">
        <f>H185+I185+J185+K185</f>
        <v>67.593</v>
      </c>
      <c r="H185" s="45">
        <v>0</v>
      </c>
      <c r="I185" s="53">
        <v>12.298</v>
      </c>
      <c r="J185" s="45">
        <v>0</v>
      </c>
      <c r="K185" s="53">
        <f>26.8+28.495</f>
        <v>55.295</v>
      </c>
      <c r="L185" s="45">
        <v>0</v>
      </c>
      <c r="M185" s="45">
        <v>0</v>
      </c>
      <c r="N185" s="31"/>
      <c r="O185" s="31"/>
    </row>
    <row r="186" spans="1:15" ht="12.75" customHeight="1">
      <c r="A186" s="43" t="s">
        <v>84</v>
      </c>
      <c r="B186" s="48" t="s">
        <v>76</v>
      </c>
      <c r="C186" s="48" t="s">
        <v>56</v>
      </c>
      <c r="D186" s="48" t="s">
        <v>147</v>
      </c>
      <c r="E186" s="48" t="s">
        <v>95</v>
      </c>
      <c r="F186" s="48" t="s">
        <v>340</v>
      </c>
      <c r="G186" s="50">
        <f>H186+I186+J186+K186</f>
        <v>29.644570000000005</v>
      </c>
      <c r="H186" s="45">
        <f>24.1-24.1</f>
        <v>0</v>
      </c>
      <c r="I186" s="45">
        <f>24.1+24.1-13.13519-35.06481</f>
        <v>0</v>
      </c>
      <c r="J186" s="45">
        <f>24.2+35.06481-0.44461-58.8202</f>
        <v>0</v>
      </c>
      <c r="K186" s="50">
        <f>24.2+58.8202-26.8-2.12603-24.4496</f>
        <v>29.644570000000005</v>
      </c>
      <c r="L186" s="51">
        <v>112.3</v>
      </c>
      <c r="M186" s="51">
        <v>128.4</v>
      </c>
      <c r="N186" s="31"/>
      <c r="O186" s="31"/>
    </row>
    <row r="187" spans="1:15" ht="12.75" customHeight="1">
      <c r="A187" s="43" t="s">
        <v>23</v>
      </c>
      <c r="B187" s="55" t="s">
        <v>76</v>
      </c>
      <c r="C187" s="55" t="s">
        <v>56</v>
      </c>
      <c r="D187" s="55" t="s">
        <v>147</v>
      </c>
      <c r="E187" s="55" t="s">
        <v>347</v>
      </c>
      <c r="F187" s="55"/>
      <c r="G187" s="56">
        <f>H187+I187+J187+K187</f>
        <v>10.92603</v>
      </c>
      <c r="H187" s="56">
        <f aca="true" t="shared" si="89" ref="H187:M187">H188</f>
        <v>3.61934</v>
      </c>
      <c r="I187" s="56">
        <f t="shared" si="89"/>
        <v>2.59282</v>
      </c>
      <c r="J187" s="60">
        <f t="shared" si="89"/>
        <v>0</v>
      </c>
      <c r="K187" s="56">
        <f t="shared" si="89"/>
        <v>4.71387</v>
      </c>
      <c r="L187" s="58">
        <f>L188</f>
        <v>9.2</v>
      </c>
      <c r="M187" s="58">
        <f t="shared" si="89"/>
        <v>9.6</v>
      </c>
      <c r="N187" s="31"/>
      <c r="O187" s="31"/>
    </row>
    <row r="188" spans="1:15" ht="15" customHeight="1">
      <c r="A188" s="41" t="s">
        <v>22</v>
      </c>
      <c r="B188" s="48" t="s">
        <v>76</v>
      </c>
      <c r="C188" s="48" t="s">
        <v>56</v>
      </c>
      <c r="D188" s="48" t="s">
        <v>147</v>
      </c>
      <c r="E188" s="48" t="s">
        <v>347</v>
      </c>
      <c r="F188" s="48" t="s">
        <v>47</v>
      </c>
      <c r="G188" s="50">
        <f aca="true" t="shared" si="90" ref="G188:K189">G189</f>
        <v>10.92603</v>
      </c>
      <c r="H188" s="50">
        <f t="shared" si="90"/>
        <v>3.61934</v>
      </c>
      <c r="I188" s="50">
        <f t="shared" si="90"/>
        <v>2.59282</v>
      </c>
      <c r="J188" s="45">
        <f t="shared" si="90"/>
        <v>0</v>
      </c>
      <c r="K188" s="50">
        <f t="shared" si="90"/>
        <v>4.71387</v>
      </c>
      <c r="L188" s="51">
        <f>L189</f>
        <v>9.2</v>
      </c>
      <c r="M188" s="51">
        <f>M189</f>
        <v>9.6</v>
      </c>
      <c r="N188" s="31"/>
      <c r="O188" s="31"/>
    </row>
    <row r="189" spans="1:15" ht="15" customHeight="1">
      <c r="A189" s="41" t="s">
        <v>23</v>
      </c>
      <c r="B189" s="48" t="s">
        <v>76</v>
      </c>
      <c r="C189" s="48" t="s">
        <v>56</v>
      </c>
      <c r="D189" s="48" t="s">
        <v>147</v>
      </c>
      <c r="E189" s="48" t="s">
        <v>347</v>
      </c>
      <c r="F189" s="48"/>
      <c r="G189" s="50">
        <f t="shared" si="90"/>
        <v>10.92603</v>
      </c>
      <c r="H189" s="50">
        <f t="shared" si="90"/>
        <v>3.61934</v>
      </c>
      <c r="I189" s="50">
        <f t="shared" si="90"/>
        <v>2.59282</v>
      </c>
      <c r="J189" s="45">
        <f t="shared" si="90"/>
        <v>0</v>
      </c>
      <c r="K189" s="50">
        <f t="shared" si="90"/>
        <v>4.71387</v>
      </c>
      <c r="L189" s="51">
        <f>L190</f>
        <v>9.2</v>
      </c>
      <c r="M189" s="51">
        <f>M190</f>
        <v>9.6</v>
      </c>
      <c r="N189" s="31"/>
      <c r="O189" s="31"/>
    </row>
    <row r="190" spans="1:15" ht="15.75" customHeight="1">
      <c r="A190" s="41" t="s">
        <v>24</v>
      </c>
      <c r="B190" s="48" t="s">
        <v>76</v>
      </c>
      <c r="C190" s="48" t="s">
        <v>56</v>
      </c>
      <c r="D190" s="48" t="s">
        <v>147</v>
      </c>
      <c r="E190" s="48" t="s">
        <v>347</v>
      </c>
      <c r="F190" s="48" t="s">
        <v>187</v>
      </c>
      <c r="G190" s="50">
        <f>H190+I190+J190+K190</f>
        <v>10.92603</v>
      </c>
      <c r="H190" s="50">
        <f>3.8-0.18066</f>
        <v>3.61934</v>
      </c>
      <c r="I190" s="50">
        <f>1.3+0.18066+0.0278+0.90363+0.18073</f>
        <v>2.59282</v>
      </c>
      <c r="J190" s="45">
        <v>0</v>
      </c>
      <c r="K190" s="50">
        <f>3.7-0.0278-0.90363-0.18073+2.12603</f>
        <v>4.71387</v>
      </c>
      <c r="L190" s="51">
        <v>9.2</v>
      </c>
      <c r="M190" s="51">
        <v>9.6</v>
      </c>
      <c r="N190" s="31"/>
      <c r="O190" s="31"/>
    </row>
    <row r="191" spans="1:26" ht="27" customHeight="1">
      <c r="A191" s="62" t="s">
        <v>148</v>
      </c>
      <c r="B191" s="55" t="s">
        <v>76</v>
      </c>
      <c r="C191" s="55" t="s">
        <v>150</v>
      </c>
      <c r="D191" s="55" t="s">
        <v>151</v>
      </c>
      <c r="E191" s="55" t="s">
        <v>59</v>
      </c>
      <c r="F191" s="55"/>
      <c r="G191" s="58">
        <f>H191+I191+J191+K191</f>
        <v>923.05</v>
      </c>
      <c r="H191" s="58">
        <f aca="true" t="shared" si="91" ref="H191:M191">H192+H195</f>
        <v>225.25</v>
      </c>
      <c r="I191" s="58">
        <f t="shared" si="91"/>
        <v>225.2</v>
      </c>
      <c r="J191" s="58">
        <f t="shared" si="91"/>
        <v>225.2</v>
      </c>
      <c r="K191" s="58">
        <f t="shared" si="91"/>
        <v>247.4</v>
      </c>
      <c r="L191" s="58">
        <f t="shared" si="91"/>
        <v>900.95</v>
      </c>
      <c r="M191" s="58">
        <f t="shared" si="91"/>
        <v>900.95</v>
      </c>
      <c r="N191" s="31"/>
      <c r="O191" s="31"/>
      <c r="Z191" s="12">
        <f>G191</f>
        <v>923.05</v>
      </c>
    </row>
    <row r="192" spans="1:15" ht="43.5" customHeight="1">
      <c r="A192" s="62" t="s">
        <v>359</v>
      </c>
      <c r="B192" s="55" t="s">
        <v>76</v>
      </c>
      <c r="C192" s="55" t="s">
        <v>358</v>
      </c>
      <c r="D192" s="55" t="s">
        <v>360</v>
      </c>
      <c r="E192" s="55" t="s">
        <v>59</v>
      </c>
      <c r="F192" s="55"/>
      <c r="G192" s="58">
        <f aca="true" t="shared" si="92" ref="G192:K193">G193</f>
        <v>4.5</v>
      </c>
      <c r="H192" s="60">
        <f t="shared" si="92"/>
        <v>0</v>
      </c>
      <c r="I192" s="60">
        <f t="shared" si="92"/>
        <v>0</v>
      </c>
      <c r="J192" s="60">
        <f t="shared" si="92"/>
        <v>0</v>
      </c>
      <c r="K192" s="58">
        <f t="shared" si="92"/>
        <v>4.5</v>
      </c>
      <c r="L192" s="60">
        <f>L193</f>
        <v>0</v>
      </c>
      <c r="M192" s="60">
        <f>M193</f>
        <v>0</v>
      </c>
      <c r="N192" s="31"/>
      <c r="O192" s="31"/>
    </row>
    <row r="193" spans="1:15" ht="42" customHeight="1">
      <c r="A193" s="43" t="s">
        <v>314</v>
      </c>
      <c r="B193" s="48" t="s">
        <v>76</v>
      </c>
      <c r="C193" s="48" t="s">
        <v>358</v>
      </c>
      <c r="D193" s="48" t="s">
        <v>149</v>
      </c>
      <c r="E193" s="48" t="s">
        <v>96</v>
      </c>
      <c r="F193" s="48"/>
      <c r="G193" s="51">
        <f t="shared" si="92"/>
        <v>4.5</v>
      </c>
      <c r="H193" s="45">
        <f t="shared" si="92"/>
        <v>0</v>
      </c>
      <c r="I193" s="45">
        <f t="shared" si="92"/>
        <v>0</v>
      </c>
      <c r="J193" s="45">
        <f t="shared" si="92"/>
        <v>0</v>
      </c>
      <c r="K193" s="51">
        <f t="shared" si="92"/>
        <v>4.5</v>
      </c>
      <c r="L193" s="45">
        <f>L194</f>
        <v>0</v>
      </c>
      <c r="M193" s="45">
        <f>M194</f>
        <v>0</v>
      </c>
      <c r="N193" s="31"/>
      <c r="O193" s="31"/>
    </row>
    <row r="194" spans="1:15" ht="15" customHeight="1">
      <c r="A194" s="43" t="s">
        <v>84</v>
      </c>
      <c r="B194" s="48" t="s">
        <v>76</v>
      </c>
      <c r="C194" s="48" t="s">
        <v>358</v>
      </c>
      <c r="D194" s="48" t="s">
        <v>149</v>
      </c>
      <c r="E194" s="48" t="s">
        <v>95</v>
      </c>
      <c r="F194" s="48" t="s">
        <v>340</v>
      </c>
      <c r="G194" s="51">
        <f aca="true" t="shared" si="93" ref="G194:G199">H194+I194+J194+K194</f>
        <v>4.5</v>
      </c>
      <c r="H194" s="45">
        <f>25-25</f>
        <v>0</v>
      </c>
      <c r="I194" s="45">
        <f>100-100</f>
        <v>0</v>
      </c>
      <c r="J194" s="45">
        <f>100-100</f>
        <v>0</v>
      </c>
      <c r="K194" s="51">
        <f>100-95.5</f>
        <v>4.5</v>
      </c>
      <c r="L194" s="45">
        <v>0</v>
      </c>
      <c r="M194" s="45">
        <v>0</v>
      </c>
      <c r="N194" s="31"/>
      <c r="O194" s="31"/>
    </row>
    <row r="195" spans="1:15" ht="72.75" customHeight="1">
      <c r="A195" s="62" t="s">
        <v>315</v>
      </c>
      <c r="B195" s="55" t="s">
        <v>76</v>
      </c>
      <c r="C195" s="55" t="s">
        <v>358</v>
      </c>
      <c r="D195" s="55" t="s">
        <v>220</v>
      </c>
      <c r="E195" s="55" t="s">
        <v>38</v>
      </c>
      <c r="F195" s="55"/>
      <c r="G195" s="58">
        <f t="shared" si="93"/>
        <v>918.55</v>
      </c>
      <c r="H195" s="58">
        <f aca="true" t="shared" si="94" ref="H195:M195">H196</f>
        <v>225.25</v>
      </c>
      <c r="I195" s="58">
        <f t="shared" si="94"/>
        <v>225.2</v>
      </c>
      <c r="J195" s="58">
        <f t="shared" si="94"/>
        <v>225.2</v>
      </c>
      <c r="K195" s="58">
        <f t="shared" si="94"/>
        <v>242.9</v>
      </c>
      <c r="L195" s="58">
        <f t="shared" si="94"/>
        <v>900.95</v>
      </c>
      <c r="M195" s="58">
        <f t="shared" si="94"/>
        <v>900.95</v>
      </c>
      <c r="N195" s="31"/>
      <c r="O195" s="31"/>
    </row>
    <row r="196" spans="1:15" ht="26.25" customHeight="1">
      <c r="A196" s="43" t="s">
        <v>339</v>
      </c>
      <c r="B196" s="48" t="s">
        <v>76</v>
      </c>
      <c r="C196" s="48" t="s">
        <v>358</v>
      </c>
      <c r="D196" s="48" t="s">
        <v>220</v>
      </c>
      <c r="E196" s="48" t="s">
        <v>133</v>
      </c>
      <c r="F196" s="48" t="s">
        <v>72</v>
      </c>
      <c r="G196" s="51">
        <f t="shared" si="93"/>
        <v>918.55</v>
      </c>
      <c r="H196" s="51">
        <v>225.25</v>
      </c>
      <c r="I196" s="51">
        <v>225.2</v>
      </c>
      <c r="J196" s="51">
        <v>225.2</v>
      </c>
      <c r="K196" s="51">
        <f>225.3+17.6</f>
        <v>242.9</v>
      </c>
      <c r="L196" s="51">
        <v>900.95</v>
      </c>
      <c r="M196" s="51">
        <v>900.95</v>
      </c>
      <c r="N196" s="31"/>
      <c r="O196" s="31"/>
    </row>
    <row r="197" spans="1:26" ht="15" customHeight="1">
      <c r="A197" s="62" t="s">
        <v>101</v>
      </c>
      <c r="B197" s="55" t="s">
        <v>76</v>
      </c>
      <c r="C197" s="55" t="s">
        <v>210</v>
      </c>
      <c r="D197" s="55" t="s">
        <v>151</v>
      </c>
      <c r="E197" s="55" t="s">
        <v>59</v>
      </c>
      <c r="F197" s="55"/>
      <c r="G197" s="56">
        <f t="shared" si="93"/>
        <v>13976.07142</v>
      </c>
      <c r="H197" s="56">
        <f aca="true" t="shared" si="95" ref="H197:M197">H198+H231</f>
        <v>1703.0008200000002</v>
      </c>
      <c r="I197" s="56">
        <f t="shared" si="95"/>
        <v>2445.88887</v>
      </c>
      <c r="J197" s="56">
        <f t="shared" si="95"/>
        <v>6228.8631700000005</v>
      </c>
      <c r="K197" s="56">
        <f t="shared" si="95"/>
        <v>3598.31856</v>
      </c>
      <c r="L197" s="56">
        <f t="shared" si="95"/>
        <v>8311.5</v>
      </c>
      <c r="M197" s="56">
        <f t="shared" si="95"/>
        <v>8502.5</v>
      </c>
      <c r="N197" s="31"/>
      <c r="O197" s="31"/>
      <c r="Z197" s="12" t="e">
        <f>G217+#REF!+#REF!+G231</f>
        <v>#REF!</v>
      </c>
    </row>
    <row r="198" spans="1:15" ht="15" customHeight="1">
      <c r="A198" s="42" t="s">
        <v>231</v>
      </c>
      <c r="B198" s="55" t="s">
        <v>76</v>
      </c>
      <c r="C198" s="55" t="s">
        <v>102</v>
      </c>
      <c r="D198" s="55" t="s">
        <v>151</v>
      </c>
      <c r="E198" s="55" t="s">
        <v>59</v>
      </c>
      <c r="F198" s="48"/>
      <c r="G198" s="56">
        <f t="shared" si="93"/>
        <v>13928.57142</v>
      </c>
      <c r="H198" s="56">
        <f aca="true" t="shared" si="96" ref="H198:M198">H199+H220</f>
        <v>1703.0008200000002</v>
      </c>
      <c r="I198" s="56">
        <f t="shared" si="96"/>
        <v>2445.88887</v>
      </c>
      <c r="J198" s="56">
        <f t="shared" si="96"/>
        <v>6181.3631700000005</v>
      </c>
      <c r="K198" s="56">
        <f t="shared" si="96"/>
        <v>3598.31856</v>
      </c>
      <c r="L198" s="56">
        <f t="shared" si="96"/>
        <v>8261.5</v>
      </c>
      <c r="M198" s="56">
        <f t="shared" si="96"/>
        <v>8452.5</v>
      </c>
      <c r="N198" s="31"/>
      <c r="O198" s="31"/>
    </row>
    <row r="199" spans="1:32" ht="30.75" customHeight="1">
      <c r="A199" s="62" t="s">
        <v>286</v>
      </c>
      <c r="B199" s="55" t="s">
        <v>76</v>
      </c>
      <c r="C199" s="55" t="s">
        <v>102</v>
      </c>
      <c r="D199" s="55" t="s">
        <v>320</v>
      </c>
      <c r="E199" s="55"/>
      <c r="F199" s="48"/>
      <c r="G199" s="56">
        <f t="shared" si="93"/>
        <v>9880.86482</v>
      </c>
      <c r="H199" s="56">
        <f aca="true" t="shared" si="97" ref="H199:M199">H200+H218</f>
        <v>1670.6260700000003</v>
      </c>
      <c r="I199" s="56">
        <f t="shared" si="97"/>
        <v>2445.88887</v>
      </c>
      <c r="J199" s="56">
        <f t="shared" si="97"/>
        <v>2296.03132</v>
      </c>
      <c r="K199" s="56">
        <f t="shared" si="97"/>
        <v>3468.31856</v>
      </c>
      <c r="L199" s="56">
        <f t="shared" si="97"/>
        <v>8261.5</v>
      </c>
      <c r="M199" s="56">
        <f t="shared" si="97"/>
        <v>8452.5</v>
      </c>
      <c r="N199" s="31"/>
      <c r="O199" s="31"/>
      <c r="AD199" s="12">
        <f>G199+G343</f>
        <v>13079.692200000001</v>
      </c>
      <c r="AE199" s="12" t="e">
        <f>#REF!+L343</f>
        <v>#REF!</v>
      </c>
      <c r="AF199" s="12">
        <f>M199+M343</f>
        <v>11671.3</v>
      </c>
    </row>
    <row r="200" spans="1:36" ht="55.5" customHeight="1">
      <c r="A200" s="43" t="s">
        <v>316</v>
      </c>
      <c r="B200" s="48" t="s">
        <v>76</v>
      </c>
      <c r="C200" s="48" t="s">
        <v>102</v>
      </c>
      <c r="D200" s="48" t="s">
        <v>261</v>
      </c>
      <c r="E200" s="48" t="s">
        <v>131</v>
      </c>
      <c r="F200" s="48"/>
      <c r="G200" s="50">
        <f aca="true" t="shared" si="98" ref="G200:G214">H200+I200+J200+K200</f>
        <v>9798.94282</v>
      </c>
      <c r="H200" s="50">
        <f aca="true" t="shared" si="99" ref="H200:M200">H201+H204+H215+H214</f>
        <v>1670.6260700000003</v>
      </c>
      <c r="I200" s="50">
        <f t="shared" si="99"/>
        <v>2363.96687</v>
      </c>
      <c r="J200" s="50">
        <f t="shared" si="99"/>
        <v>2296.03132</v>
      </c>
      <c r="K200" s="50">
        <f t="shared" si="99"/>
        <v>3468.31856</v>
      </c>
      <c r="L200" s="51">
        <f t="shared" si="99"/>
        <v>8261.5</v>
      </c>
      <c r="M200" s="51">
        <f t="shared" si="99"/>
        <v>8452.5</v>
      </c>
      <c r="N200" s="31"/>
      <c r="O200" s="31"/>
      <c r="AJ200" s="37">
        <f>H200+I200+J200</f>
        <v>6330.6242600000005</v>
      </c>
    </row>
    <row r="201" spans="1:36" ht="19.5" customHeight="1">
      <c r="A201" s="43" t="s">
        <v>15</v>
      </c>
      <c r="B201" s="48" t="s">
        <v>76</v>
      </c>
      <c r="C201" s="48" t="s">
        <v>102</v>
      </c>
      <c r="D201" s="48" t="s">
        <v>261</v>
      </c>
      <c r="E201" s="48" t="s">
        <v>105</v>
      </c>
      <c r="F201" s="48" t="s">
        <v>107</v>
      </c>
      <c r="G201" s="50">
        <f t="shared" si="98"/>
        <v>6351.23072</v>
      </c>
      <c r="H201" s="50">
        <f aca="true" t="shared" si="100" ref="H201:M201">H202+H203</f>
        <v>1075.8629700000001</v>
      </c>
      <c r="I201" s="50">
        <f t="shared" si="100"/>
        <v>1493.07774</v>
      </c>
      <c r="J201" s="50">
        <f t="shared" si="100"/>
        <v>1505.84398</v>
      </c>
      <c r="K201" s="50">
        <f t="shared" si="100"/>
        <v>2276.44603</v>
      </c>
      <c r="L201" s="51">
        <f t="shared" si="100"/>
        <v>6088.4</v>
      </c>
      <c r="M201" s="51">
        <f t="shared" si="100"/>
        <v>6088.4</v>
      </c>
      <c r="N201" s="31"/>
      <c r="O201" s="31"/>
      <c r="AJ201" s="37">
        <f>H201+I201+J201</f>
        <v>4074.78469</v>
      </c>
    </row>
    <row r="202" spans="1:15" ht="19.5" customHeight="1">
      <c r="A202" s="43" t="s">
        <v>16</v>
      </c>
      <c r="B202" s="48" t="s">
        <v>76</v>
      </c>
      <c r="C202" s="48" t="s">
        <v>102</v>
      </c>
      <c r="D202" s="48" t="s">
        <v>261</v>
      </c>
      <c r="E202" s="48" t="s">
        <v>90</v>
      </c>
      <c r="F202" s="48" t="s">
        <v>108</v>
      </c>
      <c r="G202" s="50">
        <f t="shared" si="98"/>
        <v>4882.341</v>
      </c>
      <c r="H202" s="50">
        <f>935.2-84.54068</f>
        <v>850.6593200000001</v>
      </c>
      <c r="I202" s="50">
        <f>1169+84.54068-92.75906</f>
        <v>1160.78162</v>
      </c>
      <c r="J202" s="50">
        <f>1169+92.75906-112.17339</f>
        <v>1149.5856700000002</v>
      </c>
      <c r="K202" s="50">
        <f>1403+112.17339+193.7+12.441</f>
        <v>1721.31439</v>
      </c>
      <c r="L202" s="51">
        <v>4676.2</v>
      </c>
      <c r="M202" s="51">
        <v>4676.2</v>
      </c>
      <c r="N202" s="31"/>
      <c r="O202" s="31"/>
    </row>
    <row r="203" spans="1:15" ht="19.5" customHeight="1">
      <c r="A203" s="43" t="s">
        <v>18</v>
      </c>
      <c r="B203" s="48" t="s">
        <v>76</v>
      </c>
      <c r="C203" s="48" t="s">
        <v>102</v>
      </c>
      <c r="D203" s="48" t="s">
        <v>261</v>
      </c>
      <c r="E203" s="48" t="s">
        <v>90</v>
      </c>
      <c r="F203" s="48" t="s">
        <v>110</v>
      </c>
      <c r="G203" s="50">
        <f t="shared" si="98"/>
        <v>1468.8897200000001</v>
      </c>
      <c r="H203" s="50">
        <f>282.5-57.29635</f>
        <v>225.20365</v>
      </c>
      <c r="I203" s="50">
        <f>353+57.29635-78.00023</f>
        <v>332.29612000000003</v>
      </c>
      <c r="J203" s="50">
        <f>353+78.00023-74.74192</f>
        <v>356.25831</v>
      </c>
      <c r="K203" s="50">
        <f>423.7+74.74192+58.5-1.81028</f>
        <v>555.13164</v>
      </c>
      <c r="L203" s="51">
        <v>1412.2</v>
      </c>
      <c r="M203" s="51">
        <v>1412.2</v>
      </c>
      <c r="N203" s="31"/>
      <c r="O203" s="31"/>
    </row>
    <row r="204" spans="1:15" ht="19.5" customHeight="1">
      <c r="A204" s="43" t="s">
        <v>19</v>
      </c>
      <c r="B204" s="48" t="s">
        <v>76</v>
      </c>
      <c r="C204" s="48" t="s">
        <v>102</v>
      </c>
      <c r="D204" s="48" t="s">
        <v>261</v>
      </c>
      <c r="E204" s="48" t="s">
        <v>90</v>
      </c>
      <c r="F204" s="48" t="s">
        <v>111</v>
      </c>
      <c r="G204" s="50">
        <f t="shared" si="98"/>
        <v>1549.5443300000002</v>
      </c>
      <c r="H204" s="50">
        <f aca="true" t="shared" si="101" ref="H204:M204">H205+H207+H212+H213+H206</f>
        <v>400.33540999999997</v>
      </c>
      <c r="I204" s="50">
        <f t="shared" si="101"/>
        <v>376.32549</v>
      </c>
      <c r="J204" s="50">
        <f t="shared" si="101"/>
        <v>337.83854</v>
      </c>
      <c r="K204" s="50">
        <f t="shared" si="101"/>
        <v>435.04489</v>
      </c>
      <c r="L204" s="51">
        <f t="shared" si="101"/>
        <v>1176.4</v>
      </c>
      <c r="M204" s="51">
        <f t="shared" si="101"/>
        <v>1190.9</v>
      </c>
      <c r="N204" s="31"/>
      <c r="O204" s="31"/>
    </row>
    <row r="205" spans="1:15" ht="19.5" customHeight="1">
      <c r="A205" s="43" t="s">
        <v>20</v>
      </c>
      <c r="B205" s="48" t="s">
        <v>76</v>
      </c>
      <c r="C205" s="48" t="s">
        <v>102</v>
      </c>
      <c r="D205" s="48" t="s">
        <v>261</v>
      </c>
      <c r="E205" s="48" t="s">
        <v>90</v>
      </c>
      <c r="F205" s="48" t="s">
        <v>112</v>
      </c>
      <c r="G205" s="49">
        <f t="shared" si="98"/>
        <v>29.718199999999996</v>
      </c>
      <c r="H205" s="50">
        <f>7.8-0.16594</f>
        <v>7.63406</v>
      </c>
      <c r="I205" s="50">
        <f>7.8+0.16594-0.16403</f>
        <v>7.8019099999999995</v>
      </c>
      <c r="J205" s="50">
        <f>7.8+0.16403-0.43365</f>
        <v>7.53038</v>
      </c>
      <c r="K205" s="50">
        <f>7.8+0.43365-1.4818</f>
        <v>6.751849999999999</v>
      </c>
      <c r="L205" s="51">
        <v>32</v>
      </c>
      <c r="M205" s="51">
        <v>33.3</v>
      </c>
      <c r="N205" s="31"/>
      <c r="O205" s="31"/>
    </row>
    <row r="206" spans="1:15" ht="19.5" customHeight="1">
      <c r="A206" s="43" t="s">
        <v>21</v>
      </c>
      <c r="B206" s="48" t="s">
        <v>76</v>
      </c>
      <c r="C206" s="48" t="s">
        <v>102</v>
      </c>
      <c r="D206" s="48" t="s">
        <v>261</v>
      </c>
      <c r="E206" s="48" t="s">
        <v>90</v>
      </c>
      <c r="F206" s="48" t="s">
        <v>113</v>
      </c>
      <c r="G206" s="50">
        <f t="shared" si="98"/>
        <v>157.42813</v>
      </c>
      <c r="H206" s="50">
        <v>109.37613</v>
      </c>
      <c r="I206" s="53">
        <v>48.052</v>
      </c>
      <c r="J206" s="45">
        <f>52.97-52.97</f>
        <v>0</v>
      </c>
      <c r="K206" s="45">
        <v>0</v>
      </c>
      <c r="L206" s="45">
        <v>0</v>
      </c>
      <c r="M206" s="45">
        <v>0</v>
      </c>
      <c r="N206" s="31"/>
      <c r="O206" s="31"/>
    </row>
    <row r="207" spans="1:15" ht="19.5" customHeight="1">
      <c r="A207" s="43" t="s">
        <v>22</v>
      </c>
      <c r="B207" s="48" t="s">
        <v>76</v>
      </c>
      <c r="C207" s="48" t="s">
        <v>102</v>
      </c>
      <c r="D207" s="48" t="s">
        <v>261</v>
      </c>
      <c r="E207" s="48" t="s">
        <v>90</v>
      </c>
      <c r="F207" s="48" t="s">
        <v>114</v>
      </c>
      <c r="G207" s="50">
        <f t="shared" si="98"/>
        <v>311.56681000000003</v>
      </c>
      <c r="H207" s="50">
        <f aca="true" t="shared" si="102" ref="H207:M207">H209+H210+H211</f>
        <v>101.10786999999999</v>
      </c>
      <c r="I207" s="50">
        <f t="shared" si="102"/>
        <v>73.14558</v>
      </c>
      <c r="J207" s="50">
        <f t="shared" si="102"/>
        <v>5.2801100000000005</v>
      </c>
      <c r="K207" s="50">
        <f t="shared" si="102"/>
        <v>132.03325</v>
      </c>
      <c r="L207" s="51">
        <f t="shared" si="102"/>
        <v>326.4</v>
      </c>
      <c r="M207" s="51">
        <f t="shared" si="102"/>
        <v>339.6</v>
      </c>
      <c r="N207" s="31"/>
      <c r="O207" s="31"/>
    </row>
    <row r="208" spans="1:15" ht="19.5" customHeight="1">
      <c r="A208" s="43" t="s">
        <v>23</v>
      </c>
      <c r="B208" s="48" t="s">
        <v>76</v>
      </c>
      <c r="C208" s="48" t="s">
        <v>102</v>
      </c>
      <c r="D208" s="48" t="s">
        <v>261</v>
      </c>
      <c r="E208" s="48" t="s">
        <v>90</v>
      </c>
      <c r="F208" s="48"/>
      <c r="G208" s="50"/>
      <c r="H208" s="50"/>
      <c r="I208" s="50"/>
      <c r="J208" s="50"/>
      <c r="K208" s="50"/>
      <c r="L208" s="51"/>
      <c r="M208" s="51"/>
      <c r="N208" s="31"/>
      <c r="O208" s="31"/>
    </row>
    <row r="209" spans="1:15" ht="19.5" customHeight="1">
      <c r="A209" s="43" t="s">
        <v>24</v>
      </c>
      <c r="B209" s="48" t="s">
        <v>76</v>
      </c>
      <c r="C209" s="48" t="s">
        <v>102</v>
      </c>
      <c r="D209" s="48" t="s">
        <v>261</v>
      </c>
      <c r="E209" s="48" t="s">
        <v>90</v>
      </c>
      <c r="F209" s="48" t="s">
        <v>262</v>
      </c>
      <c r="G209" s="50">
        <f t="shared" si="98"/>
        <v>282.18364</v>
      </c>
      <c r="H209" s="50">
        <f>124.8-31.35984</f>
        <v>93.44015999999999</v>
      </c>
      <c r="I209" s="49">
        <f>43.5+31.35984-7.89724</f>
        <v>66.9626</v>
      </c>
      <c r="J209" s="45">
        <f>7.89724-7.89724</f>
        <v>0</v>
      </c>
      <c r="K209" s="50">
        <f>122+7.89724-8.11636</f>
        <v>121.78088000000001</v>
      </c>
      <c r="L209" s="51">
        <v>301.9</v>
      </c>
      <c r="M209" s="51">
        <v>314</v>
      </c>
      <c r="N209" s="31"/>
      <c r="O209" s="31"/>
    </row>
    <row r="210" spans="1:15" ht="19.5" customHeight="1">
      <c r="A210" s="43" t="s">
        <v>25</v>
      </c>
      <c r="B210" s="48" t="s">
        <v>76</v>
      </c>
      <c r="C210" s="48" t="s">
        <v>102</v>
      </c>
      <c r="D210" s="48" t="s">
        <v>261</v>
      </c>
      <c r="E210" s="48" t="s">
        <v>90</v>
      </c>
      <c r="F210" s="48" t="s">
        <v>263</v>
      </c>
      <c r="G210" s="50">
        <f t="shared" si="98"/>
        <v>23.60726</v>
      </c>
      <c r="H210" s="50">
        <f>5.2+1.50555</f>
        <v>6.705550000000001</v>
      </c>
      <c r="I210" s="50">
        <f>3.5-1.50555+0.24965+3.25035-0.75471</f>
        <v>4.73974</v>
      </c>
      <c r="J210" s="50">
        <f>0.75471+1.14475+3.29882-1.362</f>
        <v>3.8362800000000004</v>
      </c>
      <c r="K210" s="50">
        <f>5.3-1.14475-3.29882+1.362+6.10726</f>
        <v>8.32569</v>
      </c>
      <c r="L210" s="51">
        <v>18.2</v>
      </c>
      <c r="M210" s="51">
        <v>19</v>
      </c>
      <c r="N210" s="31"/>
      <c r="O210" s="31"/>
    </row>
    <row r="211" spans="1:15" ht="19.5" customHeight="1">
      <c r="A211" s="43" t="s">
        <v>26</v>
      </c>
      <c r="B211" s="48" t="s">
        <v>76</v>
      </c>
      <c r="C211" s="48" t="s">
        <v>102</v>
      </c>
      <c r="D211" s="48" t="s">
        <v>261</v>
      </c>
      <c r="E211" s="48" t="s">
        <v>90</v>
      </c>
      <c r="F211" s="48" t="s">
        <v>264</v>
      </c>
      <c r="G211" s="50">
        <f t="shared" si="98"/>
        <v>5.77591</v>
      </c>
      <c r="H211" s="50">
        <f>1.5-0.53784</f>
        <v>0.96216</v>
      </c>
      <c r="I211" s="50">
        <f>1.5+0.53784-0.5946</f>
        <v>1.44324</v>
      </c>
      <c r="J211" s="50">
        <f>1.5+0.5946-0.65077</f>
        <v>1.4438299999999997</v>
      </c>
      <c r="K211" s="50">
        <f>1.6+0.65077-0.32409</f>
        <v>1.9266800000000002</v>
      </c>
      <c r="L211" s="51">
        <v>6.3</v>
      </c>
      <c r="M211" s="51">
        <v>6.6</v>
      </c>
      <c r="N211" s="31"/>
      <c r="O211" s="31"/>
    </row>
    <row r="212" spans="1:15" ht="19.5" customHeight="1">
      <c r="A212" s="41" t="s">
        <v>308</v>
      </c>
      <c r="B212" s="48" t="s">
        <v>76</v>
      </c>
      <c r="C212" s="48" t="s">
        <v>102</v>
      </c>
      <c r="D212" s="48" t="s">
        <v>261</v>
      </c>
      <c r="E212" s="48" t="s">
        <v>90</v>
      </c>
      <c r="F212" s="48" t="s">
        <v>91</v>
      </c>
      <c r="G212" s="50">
        <f t="shared" si="98"/>
        <v>852.98984</v>
      </c>
      <c r="H212" s="51">
        <f>204.5-41.37535-111.37613-18.372+87.09348</f>
        <v>120.47</v>
      </c>
      <c r="I212" s="53">
        <f>204.5-87.09348+450-35.4-31.822-150-23.5-147.93252</f>
        <v>178.752</v>
      </c>
      <c r="J212" s="50">
        <f>204.5-15-89.11948+189.5+100-88.28447</f>
        <v>301.59605</v>
      </c>
      <c r="K212" s="50">
        <f>88.28447+163.88732</f>
        <v>252.17179</v>
      </c>
      <c r="L212" s="51">
        <v>818</v>
      </c>
      <c r="M212" s="51">
        <v>818</v>
      </c>
      <c r="N212" s="31"/>
      <c r="O212" s="31"/>
    </row>
    <row r="213" spans="1:15" ht="19.5" customHeight="1">
      <c r="A213" s="43" t="s">
        <v>305</v>
      </c>
      <c r="B213" s="48" t="s">
        <v>76</v>
      </c>
      <c r="C213" s="48" t="s">
        <v>102</v>
      </c>
      <c r="D213" s="48" t="s">
        <v>261</v>
      </c>
      <c r="E213" s="48" t="s">
        <v>90</v>
      </c>
      <c r="F213" s="48" t="s">
        <v>92</v>
      </c>
      <c r="G213" s="50">
        <f t="shared" si="98"/>
        <v>197.84135</v>
      </c>
      <c r="H213" s="50">
        <f>41.37535+2+18.372</f>
        <v>61.74735</v>
      </c>
      <c r="I213" s="53">
        <f>35.4+29.174+4</f>
        <v>68.574</v>
      </c>
      <c r="J213" s="53">
        <f>0.826+54-31.394</f>
        <v>23.432000000000002</v>
      </c>
      <c r="K213" s="53">
        <f>31.394+12.694</f>
        <v>44.088</v>
      </c>
      <c r="L213" s="45">
        <v>0</v>
      </c>
      <c r="M213" s="45">
        <v>0</v>
      </c>
      <c r="N213" s="31"/>
      <c r="O213" s="31"/>
    </row>
    <row r="214" spans="1:15" ht="19.5" customHeight="1">
      <c r="A214" s="43" t="s">
        <v>257</v>
      </c>
      <c r="B214" s="48" t="s">
        <v>76</v>
      </c>
      <c r="C214" s="48" t="s">
        <v>102</v>
      </c>
      <c r="D214" s="48" t="s">
        <v>261</v>
      </c>
      <c r="E214" s="48" t="s">
        <v>90</v>
      </c>
      <c r="F214" s="48" t="s">
        <v>116</v>
      </c>
      <c r="G214" s="50">
        <f t="shared" si="98"/>
        <v>97.39253000000001</v>
      </c>
      <c r="H214" s="53">
        <f>8.5+17.938+68.7-68.7</f>
        <v>26.438000000000002</v>
      </c>
      <c r="I214" s="51">
        <f>68.7-61.67</f>
        <v>7.030000000000001</v>
      </c>
      <c r="J214" s="51">
        <f>61.67+0.25-11.67</f>
        <v>50.25</v>
      </c>
      <c r="K214" s="50">
        <f>8.6-0.938+11.67-5.65747</f>
        <v>13.67453</v>
      </c>
      <c r="L214" s="51">
        <v>34.1</v>
      </c>
      <c r="M214" s="51">
        <v>34.1</v>
      </c>
      <c r="N214" s="31"/>
      <c r="O214" s="31"/>
    </row>
    <row r="215" spans="1:38" ht="19.5" customHeight="1">
      <c r="A215" s="43" t="s">
        <v>31</v>
      </c>
      <c r="B215" s="48" t="s">
        <v>76</v>
      </c>
      <c r="C215" s="48" t="s">
        <v>102</v>
      </c>
      <c r="D215" s="48" t="s">
        <v>261</v>
      </c>
      <c r="E215" s="48" t="s">
        <v>90</v>
      </c>
      <c r="F215" s="48" t="s">
        <v>117</v>
      </c>
      <c r="G215" s="50">
        <f aca="true" t="shared" si="103" ref="G215:G220">H215+I215+J215+K215</f>
        <v>1800.77524</v>
      </c>
      <c r="H215" s="50">
        <f>H216+H217</f>
        <v>167.98969</v>
      </c>
      <c r="I215" s="50">
        <f aca="true" t="shared" si="104" ref="I215:AL215">I216+I217</f>
        <v>487.53364000000005</v>
      </c>
      <c r="J215" s="50">
        <f t="shared" si="104"/>
        <v>402.0988</v>
      </c>
      <c r="K215" s="50">
        <f t="shared" si="104"/>
        <v>743.15311</v>
      </c>
      <c r="L215" s="50">
        <f t="shared" si="104"/>
        <v>962.6</v>
      </c>
      <c r="M215" s="50">
        <f t="shared" si="104"/>
        <v>1139.1</v>
      </c>
      <c r="N215" s="52">
        <f t="shared" si="104"/>
        <v>0</v>
      </c>
      <c r="O215" s="52">
        <f t="shared" si="104"/>
        <v>0</v>
      </c>
      <c r="P215" s="52">
        <f t="shared" si="104"/>
        <v>0</v>
      </c>
      <c r="Q215" s="52">
        <f t="shared" si="104"/>
        <v>0</v>
      </c>
      <c r="R215" s="52">
        <f t="shared" si="104"/>
        <v>0</v>
      </c>
      <c r="S215" s="52">
        <f t="shared" si="104"/>
        <v>0</v>
      </c>
      <c r="T215" s="52">
        <f t="shared" si="104"/>
        <v>0</v>
      </c>
      <c r="U215" s="52">
        <f t="shared" si="104"/>
        <v>0</v>
      </c>
      <c r="V215" s="52">
        <f t="shared" si="104"/>
        <v>0</v>
      </c>
      <c r="W215" s="52">
        <f t="shared" si="104"/>
        <v>0</v>
      </c>
      <c r="X215" s="52">
        <f t="shared" si="104"/>
        <v>0</v>
      </c>
      <c r="Y215" s="52">
        <f t="shared" si="104"/>
        <v>0</v>
      </c>
      <c r="Z215" s="52">
        <f t="shared" si="104"/>
        <v>0</v>
      </c>
      <c r="AA215" s="52">
        <f t="shared" si="104"/>
        <v>0</v>
      </c>
      <c r="AB215" s="52">
        <f t="shared" si="104"/>
        <v>0</v>
      </c>
      <c r="AC215" s="52">
        <f t="shared" si="104"/>
        <v>0</v>
      </c>
      <c r="AD215" s="52">
        <f t="shared" si="104"/>
        <v>0</v>
      </c>
      <c r="AE215" s="52">
        <f t="shared" si="104"/>
        <v>0</v>
      </c>
      <c r="AF215" s="52">
        <f t="shared" si="104"/>
        <v>0</v>
      </c>
      <c r="AG215" s="52">
        <f t="shared" si="104"/>
        <v>0</v>
      </c>
      <c r="AH215" s="52">
        <f t="shared" si="104"/>
        <v>0</v>
      </c>
      <c r="AI215" s="52">
        <f t="shared" si="104"/>
        <v>0</v>
      </c>
      <c r="AJ215" s="52">
        <f t="shared" si="104"/>
        <v>0</v>
      </c>
      <c r="AK215" s="52">
        <f t="shared" si="104"/>
        <v>0</v>
      </c>
      <c r="AL215" s="52">
        <f t="shared" si="104"/>
        <v>0</v>
      </c>
    </row>
    <row r="216" spans="1:15" ht="19.5" customHeight="1">
      <c r="A216" s="43" t="s">
        <v>266</v>
      </c>
      <c r="B216" s="48" t="s">
        <v>76</v>
      </c>
      <c r="C216" s="48" t="s">
        <v>102</v>
      </c>
      <c r="D216" s="48" t="s">
        <v>261</v>
      </c>
      <c r="E216" s="48" t="s">
        <v>90</v>
      </c>
      <c r="F216" s="48" t="s">
        <v>267</v>
      </c>
      <c r="G216" s="50">
        <f t="shared" si="103"/>
        <v>635.6784499999999</v>
      </c>
      <c r="H216" s="51">
        <f>75+27.48</f>
        <v>102.48</v>
      </c>
      <c r="I216" s="53">
        <f>75-27.48+0.48+50-34.224</f>
        <v>63.776</v>
      </c>
      <c r="J216" s="49">
        <f>75-0.48+34.224+100-100+2.4628+76.2+100-27.538</f>
        <v>259.86879999999996</v>
      </c>
      <c r="K216" s="50">
        <f>75-2.4628+27.538+287.21803-177.73958</f>
        <v>209.55365</v>
      </c>
      <c r="L216" s="51">
        <v>300</v>
      </c>
      <c r="M216" s="51">
        <v>300</v>
      </c>
      <c r="N216" s="31"/>
      <c r="O216" s="31"/>
    </row>
    <row r="217" spans="1:15" ht="24" customHeight="1">
      <c r="A217" s="43" t="s">
        <v>35</v>
      </c>
      <c r="B217" s="48" t="s">
        <v>76</v>
      </c>
      <c r="C217" s="48" t="s">
        <v>102</v>
      </c>
      <c r="D217" s="48" t="s">
        <v>261</v>
      </c>
      <c r="E217" s="48" t="s">
        <v>90</v>
      </c>
      <c r="F217" s="48" t="s">
        <v>268</v>
      </c>
      <c r="G217" s="50">
        <f t="shared" si="103"/>
        <v>1165.09679</v>
      </c>
      <c r="H217" s="50">
        <f>75-9.49031</f>
        <v>65.50969</v>
      </c>
      <c r="I217" s="50">
        <f>75+9.49031+26.50219+23.5+15+108.49781+165.76733</f>
        <v>423.75764000000004</v>
      </c>
      <c r="J217" s="51">
        <f>19.23267+150+152.97-130.45-49.52267</f>
        <v>142.23000000000002</v>
      </c>
      <c r="K217" s="50">
        <f>49.52267+70.4222+413.65459</f>
        <v>533.59946</v>
      </c>
      <c r="L217" s="51">
        <v>662.6</v>
      </c>
      <c r="M217" s="51">
        <v>839.1</v>
      </c>
      <c r="N217" s="31"/>
      <c r="O217" s="31"/>
    </row>
    <row r="218" spans="1:15" ht="48.75" customHeight="1">
      <c r="A218" s="61" t="s">
        <v>361</v>
      </c>
      <c r="B218" s="48" t="s">
        <v>76</v>
      </c>
      <c r="C218" s="48" t="s">
        <v>102</v>
      </c>
      <c r="D218" s="48" t="s">
        <v>274</v>
      </c>
      <c r="E218" s="48" t="s">
        <v>131</v>
      </c>
      <c r="F218" s="48"/>
      <c r="G218" s="53">
        <f t="shared" si="103"/>
        <v>81.922</v>
      </c>
      <c r="H218" s="45">
        <f aca="true" t="shared" si="105" ref="H218:M218">H219</f>
        <v>0</v>
      </c>
      <c r="I218" s="53">
        <f t="shared" si="105"/>
        <v>81.922</v>
      </c>
      <c r="J218" s="45">
        <f t="shared" si="105"/>
        <v>0</v>
      </c>
      <c r="K218" s="45">
        <f t="shared" si="105"/>
        <v>0</v>
      </c>
      <c r="L218" s="45">
        <f t="shared" si="105"/>
        <v>0</v>
      </c>
      <c r="M218" s="45">
        <f t="shared" si="105"/>
        <v>0</v>
      </c>
      <c r="N218" s="31"/>
      <c r="O218" s="31"/>
    </row>
    <row r="219" spans="1:15" ht="16.5" customHeight="1">
      <c r="A219" s="43" t="s">
        <v>32</v>
      </c>
      <c r="B219" s="48" t="s">
        <v>76</v>
      </c>
      <c r="C219" s="48" t="s">
        <v>102</v>
      </c>
      <c r="D219" s="48" t="s">
        <v>274</v>
      </c>
      <c r="E219" s="48" t="s">
        <v>106</v>
      </c>
      <c r="F219" s="48" t="s">
        <v>118</v>
      </c>
      <c r="G219" s="53">
        <f t="shared" si="103"/>
        <v>81.922</v>
      </c>
      <c r="H219" s="45">
        <f>12.7-12.7</f>
        <v>0</v>
      </c>
      <c r="I219" s="53">
        <f>31.822+100-49.9</f>
        <v>81.922</v>
      </c>
      <c r="J219" s="45">
        <f>49.9-49.9</f>
        <v>0</v>
      </c>
      <c r="K219" s="45">
        <f>49.9-49.9</f>
        <v>0</v>
      </c>
      <c r="L219" s="45">
        <v>0</v>
      </c>
      <c r="M219" s="45">
        <v>0</v>
      </c>
      <c r="N219" s="31"/>
      <c r="O219" s="31"/>
    </row>
    <row r="220" spans="1:15" ht="47.25" customHeight="1">
      <c r="A220" s="73" t="s">
        <v>362</v>
      </c>
      <c r="B220" s="55" t="s">
        <v>76</v>
      </c>
      <c r="C220" s="55" t="s">
        <v>102</v>
      </c>
      <c r="D220" s="55" t="s">
        <v>363</v>
      </c>
      <c r="E220" s="55" t="s">
        <v>125</v>
      </c>
      <c r="F220" s="55"/>
      <c r="G220" s="59">
        <f t="shared" si="103"/>
        <v>4047.7066000000004</v>
      </c>
      <c r="H220" s="56">
        <f aca="true" t="shared" si="106" ref="H220:M220">H221+H223+H225+H227+H229</f>
        <v>32.374750000000006</v>
      </c>
      <c r="I220" s="60">
        <f t="shared" si="106"/>
        <v>0</v>
      </c>
      <c r="J220" s="56">
        <f t="shared" si="106"/>
        <v>3885.3318500000005</v>
      </c>
      <c r="K220" s="58">
        <f t="shared" si="106"/>
        <v>130</v>
      </c>
      <c r="L220" s="60">
        <f t="shared" si="106"/>
        <v>0</v>
      </c>
      <c r="M220" s="60">
        <f t="shared" si="106"/>
        <v>0</v>
      </c>
      <c r="N220" s="31"/>
      <c r="O220" s="31"/>
    </row>
    <row r="221" spans="1:15" ht="50.25" customHeight="1">
      <c r="A221" s="74" t="s">
        <v>364</v>
      </c>
      <c r="B221" s="75" t="s">
        <v>76</v>
      </c>
      <c r="C221" s="48" t="s">
        <v>102</v>
      </c>
      <c r="D221" s="48" t="s">
        <v>232</v>
      </c>
      <c r="E221" s="48" t="s">
        <v>95</v>
      </c>
      <c r="F221" s="48" t="s">
        <v>44</v>
      </c>
      <c r="G221" s="50">
        <f aca="true" t="shared" si="107" ref="G221:M229">G222</f>
        <v>32.374750000000006</v>
      </c>
      <c r="H221" s="50">
        <f t="shared" si="107"/>
        <v>32.374750000000006</v>
      </c>
      <c r="I221" s="45">
        <f t="shared" si="107"/>
        <v>0</v>
      </c>
      <c r="J221" s="45">
        <f t="shared" si="107"/>
        <v>0</v>
      </c>
      <c r="K221" s="45">
        <f t="shared" si="107"/>
        <v>0</v>
      </c>
      <c r="L221" s="45">
        <f t="shared" si="107"/>
        <v>0</v>
      </c>
      <c r="M221" s="45">
        <f t="shared" si="107"/>
        <v>0</v>
      </c>
      <c r="N221" s="31"/>
      <c r="O221" s="31"/>
    </row>
    <row r="222" spans="1:15" ht="24.75" customHeight="1">
      <c r="A222" s="76" t="s">
        <v>305</v>
      </c>
      <c r="B222" s="48" t="s">
        <v>76</v>
      </c>
      <c r="C222" s="48" t="s">
        <v>102</v>
      </c>
      <c r="D222" s="48" t="s">
        <v>232</v>
      </c>
      <c r="E222" s="48" t="s">
        <v>95</v>
      </c>
      <c r="F222" s="48" t="s">
        <v>49</v>
      </c>
      <c r="G222" s="50">
        <f>H222+I222+J222+K222</f>
        <v>32.374750000000006</v>
      </c>
      <c r="H222" s="50">
        <f>18+32.45-18.07525</f>
        <v>32.374750000000006</v>
      </c>
      <c r="I222" s="45">
        <f>18.07525-18.07525</f>
        <v>0</v>
      </c>
      <c r="J222" s="45">
        <f>18.07525-18.07525</f>
        <v>0</v>
      </c>
      <c r="K222" s="45">
        <f>18.07525+59.46047+0.0006-77.53632</f>
        <v>0</v>
      </c>
      <c r="L222" s="45">
        <v>0</v>
      </c>
      <c r="M222" s="45">
        <v>0</v>
      </c>
      <c r="N222" s="31"/>
      <c r="O222" s="31"/>
    </row>
    <row r="223" spans="1:15" ht="60" customHeight="1">
      <c r="A223" s="43" t="s">
        <v>365</v>
      </c>
      <c r="B223" s="75" t="s">
        <v>76</v>
      </c>
      <c r="C223" s="48" t="s">
        <v>102</v>
      </c>
      <c r="D223" s="48" t="s">
        <v>243</v>
      </c>
      <c r="E223" s="48" t="s">
        <v>38</v>
      </c>
      <c r="F223" s="48"/>
      <c r="G223" s="50">
        <f t="shared" si="107"/>
        <v>253.40185000000002</v>
      </c>
      <c r="H223" s="45">
        <f t="shared" si="107"/>
        <v>0</v>
      </c>
      <c r="I223" s="45">
        <f t="shared" si="107"/>
        <v>0</v>
      </c>
      <c r="J223" s="50">
        <f t="shared" si="107"/>
        <v>253.40185000000002</v>
      </c>
      <c r="K223" s="45">
        <f t="shared" si="107"/>
        <v>0</v>
      </c>
      <c r="L223" s="45">
        <f t="shared" si="107"/>
        <v>0</v>
      </c>
      <c r="M223" s="45">
        <f t="shared" si="107"/>
        <v>0</v>
      </c>
      <c r="N223" s="31"/>
      <c r="O223" s="31"/>
    </row>
    <row r="224" spans="1:15" ht="39" customHeight="1">
      <c r="A224" s="43" t="s">
        <v>339</v>
      </c>
      <c r="B224" s="48" t="s">
        <v>76</v>
      </c>
      <c r="C224" s="48" t="s">
        <v>102</v>
      </c>
      <c r="D224" s="48" t="s">
        <v>243</v>
      </c>
      <c r="E224" s="48" t="s">
        <v>133</v>
      </c>
      <c r="F224" s="48" t="s">
        <v>72</v>
      </c>
      <c r="G224" s="50">
        <f>H224+I224+J224+K224</f>
        <v>253.40185000000002</v>
      </c>
      <c r="H224" s="45">
        <v>0</v>
      </c>
      <c r="I224" s="45">
        <v>0</v>
      </c>
      <c r="J224" s="50">
        <f>256.8-3.39815</f>
        <v>253.40185000000002</v>
      </c>
      <c r="K224" s="45">
        <f>3.39815-3.39815</f>
        <v>0</v>
      </c>
      <c r="L224" s="45">
        <v>0</v>
      </c>
      <c r="M224" s="45">
        <v>0</v>
      </c>
      <c r="N224" s="31"/>
      <c r="O224" s="31"/>
    </row>
    <row r="225" spans="1:15" ht="72" customHeight="1">
      <c r="A225" s="43" t="s">
        <v>366</v>
      </c>
      <c r="B225" s="75" t="s">
        <v>76</v>
      </c>
      <c r="C225" s="48" t="s">
        <v>102</v>
      </c>
      <c r="D225" s="48" t="s">
        <v>367</v>
      </c>
      <c r="E225" s="48" t="s">
        <v>38</v>
      </c>
      <c r="F225" s="48"/>
      <c r="G225" s="51">
        <f t="shared" si="107"/>
        <v>2520</v>
      </c>
      <c r="H225" s="45">
        <f t="shared" si="107"/>
        <v>0</v>
      </c>
      <c r="I225" s="45">
        <f t="shared" si="107"/>
        <v>0</v>
      </c>
      <c r="J225" s="51">
        <f t="shared" si="107"/>
        <v>2520</v>
      </c>
      <c r="K225" s="45">
        <f t="shared" si="107"/>
        <v>0</v>
      </c>
      <c r="L225" s="45">
        <f t="shared" si="107"/>
        <v>0</v>
      </c>
      <c r="M225" s="45">
        <f t="shared" si="107"/>
        <v>0</v>
      </c>
      <c r="N225" s="31"/>
      <c r="O225" s="31"/>
    </row>
    <row r="226" spans="1:15" ht="28.5" customHeight="1">
      <c r="A226" s="43" t="s">
        <v>339</v>
      </c>
      <c r="B226" s="48" t="s">
        <v>76</v>
      </c>
      <c r="C226" s="48" t="s">
        <v>102</v>
      </c>
      <c r="D226" s="48" t="s">
        <v>367</v>
      </c>
      <c r="E226" s="48" t="s">
        <v>133</v>
      </c>
      <c r="F226" s="48" t="s">
        <v>72</v>
      </c>
      <c r="G226" s="51">
        <f>H226+I226+J226+K226</f>
        <v>2520</v>
      </c>
      <c r="H226" s="45">
        <v>0</v>
      </c>
      <c r="I226" s="45">
        <v>0</v>
      </c>
      <c r="J226" s="51">
        <v>2520</v>
      </c>
      <c r="K226" s="45">
        <v>0</v>
      </c>
      <c r="L226" s="45">
        <v>0</v>
      </c>
      <c r="M226" s="45">
        <v>0</v>
      </c>
      <c r="N226" s="31"/>
      <c r="O226" s="31"/>
    </row>
    <row r="227" spans="1:15" ht="45" customHeight="1">
      <c r="A227" s="43" t="s">
        <v>368</v>
      </c>
      <c r="B227" s="75" t="s">
        <v>76</v>
      </c>
      <c r="C227" s="48" t="s">
        <v>102</v>
      </c>
      <c r="D227" s="48" t="s">
        <v>369</v>
      </c>
      <c r="E227" s="48" t="s">
        <v>125</v>
      </c>
      <c r="F227" s="48"/>
      <c r="G227" s="49">
        <f t="shared" si="107"/>
        <v>9.7972</v>
      </c>
      <c r="H227" s="45">
        <f t="shared" si="107"/>
        <v>0</v>
      </c>
      <c r="I227" s="45">
        <f t="shared" si="107"/>
        <v>0</v>
      </c>
      <c r="J227" s="49">
        <f t="shared" si="107"/>
        <v>9.7972</v>
      </c>
      <c r="K227" s="45">
        <f t="shared" si="107"/>
        <v>0</v>
      </c>
      <c r="L227" s="45">
        <f t="shared" si="107"/>
        <v>0</v>
      </c>
      <c r="M227" s="45">
        <f t="shared" si="107"/>
        <v>0</v>
      </c>
      <c r="N227" s="31"/>
      <c r="O227" s="31"/>
    </row>
    <row r="228" spans="1:15" ht="20.25" customHeight="1">
      <c r="A228" s="43" t="s">
        <v>305</v>
      </c>
      <c r="B228" s="75" t="s">
        <v>76</v>
      </c>
      <c r="C228" s="48" t="s">
        <v>102</v>
      </c>
      <c r="D228" s="48" t="s">
        <v>369</v>
      </c>
      <c r="E228" s="48" t="s">
        <v>95</v>
      </c>
      <c r="F228" s="48" t="s">
        <v>49</v>
      </c>
      <c r="G228" s="49">
        <f>H228+I228+J228+K228</f>
        <v>9.7972</v>
      </c>
      <c r="H228" s="45">
        <v>0</v>
      </c>
      <c r="I228" s="45">
        <v>0</v>
      </c>
      <c r="J228" s="49">
        <f>10-0.2028</f>
        <v>9.7972</v>
      </c>
      <c r="K228" s="45">
        <v>0</v>
      </c>
      <c r="L228" s="45">
        <v>0</v>
      </c>
      <c r="M228" s="45">
        <v>0</v>
      </c>
      <c r="N228" s="31"/>
      <c r="O228" s="31"/>
    </row>
    <row r="229" spans="1:15" ht="33" customHeight="1">
      <c r="A229" s="43" t="s">
        <v>370</v>
      </c>
      <c r="B229" s="75" t="s">
        <v>76</v>
      </c>
      <c r="C229" s="48" t="s">
        <v>102</v>
      </c>
      <c r="D229" s="48" t="s">
        <v>371</v>
      </c>
      <c r="E229" s="48" t="s">
        <v>125</v>
      </c>
      <c r="F229" s="48"/>
      <c r="G229" s="49">
        <f t="shared" si="107"/>
        <v>1232.1328</v>
      </c>
      <c r="H229" s="45">
        <f t="shared" si="107"/>
        <v>0</v>
      </c>
      <c r="I229" s="45">
        <f t="shared" si="107"/>
        <v>0</v>
      </c>
      <c r="J229" s="49">
        <f t="shared" si="107"/>
        <v>1102.1328</v>
      </c>
      <c r="K229" s="51">
        <f t="shared" si="107"/>
        <v>130</v>
      </c>
      <c r="L229" s="45">
        <f t="shared" si="107"/>
        <v>0</v>
      </c>
      <c r="M229" s="45">
        <f t="shared" si="107"/>
        <v>0</v>
      </c>
      <c r="N229" s="31"/>
      <c r="O229" s="31"/>
    </row>
    <row r="230" spans="1:15" ht="20.25" customHeight="1">
      <c r="A230" s="41" t="s">
        <v>308</v>
      </c>
      <c r="B230" s="75" t="s">
        <v>76</v>
      </c>
      <c r="C230" s="48" t="s">
        <v>102</v>
      </c>
      <c r="D230" s="48" t="s">
        <v>371</v>
      </c>
      <c r="E230" s="48" t="s">
        <v>95</v>
      </c>
      <c r="F230" s="48" t="s">
        <v>48</v>
      </c>
      <c r="G230" s="49">
        <f aca="true" t="shared" si="108" ref="G230:G236">H230+I230+J230+K230</f>
        <v>1232.1328</v>
      </c>
      <c r="H230" s="45">
        <v>0</v>
      </c>
      <c r="I230" s="45">
        <v>0</v>
      </c>
      <c r="J230" s="49">
        <f>1101.93+0.2028</f>
        <v>1102.1328</v>
      </c>
      <c r="K230" s="51">
        <v>130</v>
      </c>
      <c r="L230" s="45">
        <v>0</v>
      </c>
      <c r="M230" s="45">
        <v>0</v>
      </c>
      <c r="N230" s="31"/>
      <c r="O230" s="31"/>
    </row>
    <row r="231" spans="1:15" ht="50.25" customHeight="1">
      <c r="A231" s="62" t="s">
        <v>372</v>
      </c>
      <c r="B231" s="75" t="s">
        <v>76</v>
      </c>
      <c r="C231" s="48" t="s">
        <v>224</v>
      </c>
      <c r="D231" s="48" t="s">
        <v>318</v>
      </c>
      <c r="E231" s="48" t="s">
        <v>125</v>
      </c>
      <c r="F231" s="48"/>
      <c r="G231" s="51">
        <f t="shared" si="108"/>
        <v>47.5</v>
      </c>
      <c r="H231" s="45">
        <f aca="true" t="shared" si="109" ref="H231:M232">H232</f>
        <v>0</v>
      </c>
      <c r="I231" s="45">
        <f t="shared" si="109"/>
        <v>0</v>
      </c>
      <c r="J231" s="51">
        <f t="shared" si="109"/>
        <v>47.5</v>
      </c>
      <c r="K231" s="51">
        <f t="shared" si="109"/>
        <v>0</v>
      </c>
      <c r="L231" s="45">
        <f t="shared" si="109"/>
        <v>50</v>
      </c>
      <c r="M231" s="45">
        <f t="shared" si="109"/>
        <v>50</v>
      </c>
      <c r="N231" s="31"/>
      <c r="O231" s="31"/>
    </row>
    <row r="232" spans="1:15" ht="42.75" customHeight="1">
      <c r="A232" s="41" t="s">
        <v>146</v>
      </c>
      <c r="B232" s="75" t="s">
        <v>76</v>
      </c>
      <c r="C232" s="48" t="s">
        <v>224</v>
      </c>
      <c r="D232" s="48" t="s">
        <v>145</v>
      </c>
      <c r="E232" s="48" t="s">
        <v>96</v>
      </c>
      <c r="F232" s="48"/>
      <c r="G232" s="51">
        <f t="shared" si="108"/>
        <v>47.5</v>
      </c>
      <c r="H232" s="45">
        <f t="shared" si="109"/>
        <v>0</v>
      </c>
      <c r="I232" s="45">
        <f t="shared" si="109"/>
        <v>0</v>
      </c>
      <c r="J232" s="51">
        <f t="shared" si="109"/>
        <v>47.5</v>
      </c>
      <c r="K232" s="51">
        <f t="shared" si="109"/>
        <v>0</v>
      </c>
      <c r="L232" s="45">
        <f t="shared" si="109"/>
        <v>50</v>
      </c>
      <c r="M232" s="45">
        <f t="shared" si="109"/>
        <v>50</v>
      </c>
      <c r="N232" s="31"/>
      <c r="O232" s="31"/>
    </row>
    <row r="233" spans="1:15" ht="14.25" customHeight="1">
      <c r="A233" s="43" t="s">
        <v>305</v>
      </c>
      <c r="B233" s="75" t="s">
        <v>76</v>
      </c>
      <c r="C233" s="48" t="s">
        <v>224</v>
      </c>
      <c r="D233" s="48" t="s">
        <v>145</v>
      </c>
      <c r="E233" s="48" t="s">
        <v>95</v>
      </c>
      <c r="F233" s="48" t="s">
        <v>49</v>
      </c>
      <c r="G233" s="51">
        <f t="shared" si="108"/>
        <v>47.5</v>
      </c>
      <c r="H233" s="45">
        <v>0</v>
      </c>
      <c r="I233" s="45">
        <f>12.5+5-8-8-1.5</f>
        <v>0</v>
      </c>
      <c r="J233" s="51">
        <f>57.5+18-28</f>
        <v>47.5</v>
      </c>
      <c r="K233" s="51">
        <f>28-28</f>
        <v>0</v>
      </c>
      <c r="L233" s="45">
        <v>50</v>
      </c>
      <c r="M233" s="45">
        <v>50</v>
      </c>
      <c r="N233" s="31"/>
      <c r="O233" s="31"/>
    </row>
    <row r="234" spans="1:15" ht="18" customHeight="1">
      <c r="A234" s="62" t="s">
        <v>78</v>
      </c>
      <c r="B234" s="55" t="s">
        <v>76</v>
      </c>
      <c r="C234" s="55" t="s">
        <v>58</v>
      </c>
      <c r="D234" s="55" t="s">
        <v>151</v>
      </c>
      <c r="E234" s="55" t="s">
        <v>59</v>
      </c>
      <c r="F234" s="55"/>
      <c r="G234" s="56">
        <f t="shared" si="108"/>
        <v>119641.30591000001</v>
      </c>
      <c r="H234" s="56">
        <f aca="true" t="shared" si="110" ref="H234:M234">H235+H239+H248+H252</f>
        <v>5462.11981</v>
      </c>
      <c r="I234" s="56">
        <f t="shared" si="110"/>
        <v>10963.71206</v>
      </c>
      <c r="J234" s="56">
        <f t="shared" si="110"/>
        <v>10643.782519999999</v>
      </c>
      <c r="K234" s="56">
        <f t="shared" si="110"/>
        <v>92571.69152000001</v>
      </c>
      <c r="L234" s="56">
        <f t="shared" si="110"/>
        <v>58115.670360000004</v>
      </c>
      <c r="M234" s="56">
        <f t="shared" si="110"/>
        <v>63777.9</v>
      </c>
      <c r="N234" s="31"/>
      <c r="O234" s="31"/>
    </row>
    <row r="235" spans="1:15" ht="15" customHeight="1">
      <c r="A235" s="43" t="s">
        <v>15</v>
      </c>
      <c r="B235" s="55"/>
      <c r="C235" s="55"/>
      <c r="D235" s="55"/>
      <c r="E235" s="55"/>
      <c r="F235" s="48" t="s">
        <v>39</v>
      </c>
      <c r="G235" s="50">
        <f t="shared" si="108"/>
        <v>5037.12738</v>
      </c>
      <c r="H235" s="50">
        <f aca="true" t="shared" si="111" ref="H235:M235">H236+H238</f>
        <v>930.58573</v>
      </c>
      <c r="I235" s="50">
        <f t="shared" si="111"/>
        <v>1098.24752</v>
      </c>
      <c r="J235" s="50">
        <f t="shared" si="111"/>
        <v>1253.1026599999998</v>
      </c>
      <c r="K235" s="50">
        <f t="shared" si="111"/>
        <v>1755.1914700000002</v>
      </c>
      <c r="L235" s="50">
        <f t="shared" si="111"/>
        <v>5009.799999999999</v>
      </c>
      <c r="M235" s="50">
        <f t="shared" si="111"/>
        <v>5009.799999999999</v>
      </c>
      <c r="N235" s="31"/>
      <c r="O235" s="31"/>
    </row>
    <row r="236" spans="1:15" ht="13.5" customHeight="1">
      <c r="A236" s="41" t="s">
        <v>16</v>
      </c>
      <c r="B236" s="55"/>
      <c r="C236" s="55"/>
      <c r="D236" s="55"/>
      <c r="E236" s="55"/>
      <c r="F236" s="48" t="s">
        <v>40</v>
      </c>
      <c r="G236" s="50">
        <f t="shared" si="108"/>
        <v>3879.15708</v>
      </c>
      <c r="H236" s="50">
        <f aca="true" t="shared" si="112" ref="H236:M236">H345+H383</f>
        <v>749.26568</v>
      </c>
      <c r="I236" s="50">
        <f t="shared" si="112"/>
        <v>845.25296</v>
      </c>
      <c r="J236" s="50">
        <f t="shared" si="112"/>
        <v>967.5538999999999</v>
      </c>
      <c r="K236" s="50">
        <f t="shared" si="112"/>
        <v>1317.08454</v>
      </c>
      <c r="L236" s="50">
        <f t="shared" si="112"/>
        <v>3847.7999999999997</v>
      </c>
      <c r="M236" s="50">
        <f t="shared" si="112"/>
        <v>3847.7999999999997</v>
      </c>
      <c r="N236" s="31"/>
      <c r="O236" s="31"/>
    </row>
    <row r="237" spans="1:15" ht="15" customHeight="1" hidden="1">
      <c r="A237" s="41" t="s">
        <v>17</v>
      </c>
      <c r="B237" s="55"/>
      <c r="C237" s="55"/>
      <c r="D237" s="55"/>
      <c r="E237" s="55"/>
      <c r="F237" s="48" t="s">
        <v>41</v>
      </c>
      <c r="G237" s="50">
        <f>K237</f>
        <v>0</v>
      </c>
      <c r="H237" s="50">
        <f>H346+H384</f>
        <v>181.32005</v>
      </c>
      <c r="I237" s="50"/>
      <c r="J237" s="50"/>
      <c r="K237" s="50"/>
      <c r="L237" s="50"/>
      <c r="M237" s="50"/>
      <c r="N237" s="31"/>
      <c r="O237" s="31"/>
    </row>
    <row r="238" spans="1:15" ht="13.5" customHeight="1">
      <c r="A238" s="41" t="s">
        <v>18</v>
      </c>
      <c r="B238" s="55"/>
      <c r="C238" s="55"/>
      <c r="D238" s="55"/>
      <c r="E238" s="55"/>
      <c r="F238" s="48" t="s">
        <v>42</v>
      </c>
      <c r="G238" s="50">
        <f>H238+I238+J238+K238</f>
        <v>1157.9703</v>
      </c>
      <c r="H238" s="50">
        <f aca="true" t="shared" si="113" ref="H238:M238">H346+H384</f>
        <v>181.32005</v>
      </c>
      <c r="I238" s="50">
        <f t="shared" si="113"/>
        <v>252.99455999999998</v>
      </c>
      <c r="J238" s="50">
        <f t="shared" si="113"/>
        <v>285.54875999999996</v>
      </c>
      <c r="K238" s="50">
        <f t="shared" si="113"/>
        <v>438.10693000000003</v>
      </c>
      <c r="L238" s="50">
        <f t="shared" si="113"/>
        <v>1162</v>
      </c>
      <c r="M238" s="50">
        <f t="shared" si="113"/>
        <v>1162</v>
      </c>
      <c r="N238" s="31"/>
      <c r="O238" s="31"/>
    </row>
    <row r="239" spans="1:15" ht="14.25" customHeight="1">
      <c r="A239" s="41" t="s">
        <v>19</v>
      </c>
      <c r="B239" s="55"/>
      <c r="C239" s="55"/>
      <c r="D239" s="55"/>
      <c r="E239" s="55"/>
      <c r="F239" s="48" t="s">
        <v>44</v>
      </c>
      <c r="G239" s="50">
        <f>H239+I239+J239+K239</f>
        <v>26127.213499999998</v>
      </c>
      <c r="H239" s="50">
        <f aca="true" t="shared" si="114" ref="H239:M239">H240+H245+H246+H247</f>
        <v>2946.92282</v>
      </c>
      <c r="I239" s="50">
        <f t="shared" si="114"/>
        <v>2090.9981599999996</v>
      </c>
      <c r="J239" s="50">
        <f t="shared" si="114"/>
        <v>9389.929859999998</v>
      </c>
      <c r="K239" s="50">
        <f t="shared" si="114"/>
        <v>11699.36266</v>
      </c>
      <c r="L239" s="50">
        <f t="shared" si="114"/>
        <v>13305.67036</v>
      </c>
      <c r="M239" s="50">
        <f t="shared" si="114"/>
        <v>14438.099999999999</v>
      </c>
      <c r="N239" s="31"/>
      <c r="O239" s="31"/>
    </row>
    <row r="240" spans="1:15" ht="12" customHeight="1">
      <c r="A240" s="41" t="s">
        <v>22</v>
      </c>
      <c r="B240" s="55"/>
      <c r="C240" s="55"/>
      <c r="D240" s="55"/>
      <c r="E240" s="55"/>
      <c r="F240" s="48" t="s">
        <v>47</v>
      </c>
      <c r="G240" s="50">
        <f>H240+I240+J240+K240</f>
        <v>6255.9048999999995</v>
      </c>
      <c r="H240" s="50">
        <f aca="true" t="shared" si="115" ref="H240:M240">H243+H244</f>
        <v>2308.93282</v>
      </c>
      <c r="I240" s="50">
        <f t="shared" si="115"/>
        <v>933.5680699999998</v>
      </c>
      <c r="J240" s="50">
        <f t="shared" si="115"/>
        <v>606.17158</v>
      </c>
      <c r="K240" s="50">
        <f t="shared" si="115"/>
        <v>2407.23243</v>
      </c>
      <c r="L240" s="50">
        <f t="shared" si="115"/>
        <v>3947.1</v>
      </c>
      <c r="M240" s="50">
        <f t="shared" si="115"/>
        <v>5454.2</v>
      </c>
      <c r="N240" s="31"/>
      <c r="O240" s="31"/>
    </row>
    <row r="241" spans="1:15" ht="13.5" customHeight="1">
      <c r="A241" s="41" t="s">
        <v>23</v>
      </c>
      <c r="B241" s="55"/>
      <c r="C241" s="55"/>
      <c r="D241" s="55"/>
      <c r="E241" s="55"/>
      <c r="F241" s="48"/>
      <c r="G241" s="50"/>
      <c r="H241" s="50"/>
      <c r="I241" s="50"/>
      <c r="J241" s="50"/>
      <c r="K241" s="50"/>
      <c r="L241" s="50"/>
      <c r="M241" s="50"/>
      <c r="N241" s="31"/>
      <c r="O241" s="31"/>
    </row>
    <row r="242" spans="1:15" ht="12.75" customHeight="1" hidden="1">
      <c r="A242" s="41" t="s">
        <v>24</v>
      </c>
      <c r="B242" s="55"/>
      <c r="C242" s="55"/>
      <c r="D242" s="55"/>
      <c r="E242" s="55"/>
      <c r="F242" s="48" t="s">
        <v>47</v>
      </c>
      <c r="G242" s="50">
        <f>H242+I242+J242+K242</f>
        <v>0</v>
      </c>
      <c r="H242" s="50"/>
      <c r="I242" s="50"/>
      <c r="J242" s="50"/>
      <c r="K242" s="50"/>
      <c r="L242" s="50"/>
      <c r="M242" s="50"/>
      <c r="N242" s="31"/>
      <c r="O242" s="31"/>
    </row>
    <row r="243" spans="1:15" ht="12" customHeight="1">
      <c r="A243" s="41" t="s">
        <v>388</v>
      </c>
      <c r="B243" s="55"/>
      <c r="C243" s="55"/>
      <c r="D243" s="55"/>
      <c r="E243" s="55"/>
      <c r="F243" s="48" t="s">
        <v>188</v>
      </c>
      <c r="G243" s="50">
        <f>H243+J243+I243+K243</f>
        <v>6057.66402</v>
      </c>
      <c r="H243" s="50">
        <f aca="true" t="shared" si="116" ref="H243:M243">H271+H327+H372++H375</f>
        <v>2308.93282</v>
      </c>
      <c r="I243" s="50">
        <f t="shared" si="116"/>
        <v>889.6683899999998</v>
      </c>
      <c r="J243" s="50">
        <f t="shared" si="116"/>
        <v>486.12726</v>
      </c>
      <c r="K243" s="50">
        <f t="shared" si="116"/>
        <v>2372.93555</v>
      </c>
      <c r="L243" s="50">
        <f t="shared" si="116"/>
        <v>3947.1</v>
      </c>
      <c r="M243" s="50">
        <f t="shared" si="116"/>
        <v>5454.2</v>
      </c>
      <c r="N243" s="31"/>
      <c r="O243" s="31"/>
    </row>
    <row r="244" spans="1:38" ht="12" customHeight="1">
      <c r="A244" s="61" t="s">
        <v>415</v>
      </c>
      <c r="B244" s="55"/>
      <c r="C244" s="55"/>
      <c r="D244" s="55"/>
      <c r="E244" s="55"/>
      <c r="F244" s="48" t="s">
        <v>416</v>
      </c>
      <c r="G244" s="50">
        <f>H244+I244+J244+K244</f>
        <v>198.24088</v>
      </c>
      <c r="H244" s="50">
        <f>H337</f>
        <v>0</v>
      </c>
      <c r="I244" s="50">
        <f aca="true" t="shared" si="117" ref="I244:AL244">I337</f>
        <v>43.899680000000004</v>
      </c>
      <c r="J244" s="50">
        <f t="shared" si="117"/>
        <v>120.04432</v>
      </c>
      <c r="K244" s="50">
        <f t="shared" si="117"/>
        <v>34.29688</v>
      </c>
      <c r="L244" s="50">
        <f t="shared" si="117"/>
        <v>0</v>
      </c>
      <c r="M244" s="50">
        <f t="shared" si="117"/>
        <v>0</v>
      </c>
      <c r="N244" s="18">
        <f t="shared" si="117"/>
        <v>0</v>
      </c>
      <c r="O244" s="18">
        <f t="shared" si="117"/>
        <v>0</v>
      </c>
      <c r="P244" s="18">
        <f t="shared" si="117"/>
        <v>0</v>
      </c>
      <c r="Q244" s="18">
        <f t="shared" si="117"/>
        <v>0</v>
      </c>
      <c r="R244" s="18">
        <f t="shared" si="117"/>
        <v>0</v>
      </c>
      <c r="S244" s="18">
        <f t="shared" si="117"/>
        <v>0</v>
      </c>
      <c r="T244" s="18">
        <f t="shared" si="117"/>
        <v>0</v>
      </c>
      <c r="U244" s="18">
        <f t="shared" si="117"/>
        <v>0</v>
      </c>
      <c r="V244" s="18">
        <f t="shared" si="117"/>
        <v>0</v>
      </c>
      <c r="W244" s="18">
        <f t="shared" si="117"/>
        <v>0</v>
      </c>
      <c r="X244" s="18">
        <f t="shared" si="117"/>
        <v>0</v>
      </c>
      <c r="Y244" s="18">
        <f t="shared" si="117"/>
        <v>0</v>
      </c>
      <c r="Z244" s="18">
        <f t="shared" si="117"/>
        <v>0</v>
      </c>
      <c r="AA244" s="18">
        <f t="shared" si="117"/>
        <v>0</v>
      </c>
      <c r="AB244" s="18">
        <f t="shared" si="117"/>
        <v>0</v>
      </c>
      <c r="AC244" s="18">
        <f t="shared" si="117"/>
        <v>0</v>
      </c>
      <c r="AD244" s="18">
        <f t="shared" si="117"/>
        <v>0</v>
      </c>
      <c r="AE244" s="18">
        <f t="shared" si="117"/>
        <v>0</v>
      </c>
      <c r="AF244" s="18">
        <f t="shared" si="117"/>
        <v>0</v>
      </c>
      <c r="AG244" s="18">
        <f t="shared" si="117"/>
        <v>0</v>
      </c>
      <c r="AH244" s="18">
        <f t="shared" si="117"/>
        <v>0</v>
      </c>
      <c r="AI244" s="18">
        <f t="shared" si="117"/>
        <v>0</v>
      </c>
      <c r="AJ244" s="18">
        <f t="shared" si="117"/>
        <v>0</v>
      </c>
      <c r="AK244" s="18">
        <f t="shared" si="117"/>
        <v>0</v>
      </c>
      <c r="AL244" s="18">
        <f t="shared" si="117"/>
        <v>0</v>
      </c>
    </row>
    <row r="245" spans="1:38" ht="12" customHeight="1">
      <c r="A245" s="61" t="s">
        <v>417</v>
      </c>
      <c r="B245" s="55"/>
      <c r="C245" s="55"/>
      <c r="D245" s="55"/>
      <c r="E245" s="55"/>
      <c r="F245" s="48" t="s">
        <v>418</v>
      </c>
      <c r="G245" s="50">
        <f>H245+I245+J245+K245</f>
        <v>14.1</v>
      </c>
      <c r="H245" s="50">
        <f>H338</f>
        <v>0</v>
      </c>
      <c r="I245" s="50">
        <f>I338</f>
        <v>0</v>
      </c>
      <c r="J245" s="50">
        <f>J338</f>
        <v>7.05</v>
      </c>
      <c r="K245" s="50">
        <f>K338</f>
        <v>7.05</v>
      </c>
      <c r="L245" s="50">
        <f>L338</f>
        <v>0</v>
      </c>
      <c r="M245" s="50">
        <f>M338</f>
        <v>0</v>
      </c>
      <c r="N245" s="18"/>
      <c r="O245" s="18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</row>
    <row r="246" spans="1:15" ht="13.5" customHeight="1">
      <c r="A246" s="41" t="s">
        <v>308</v>
      </c>
      <c r="B246" s="55"/>
      <c r="C246" s="55"/>
      <c r="D246" s="55"/>
      <c r="E246" s="55"/>
      <c r="F246" s="48" t="s">
        <v>48</v>
      </c>
      <c r="G246" s="50">
        <f>H246+I246+J246+K246</f>
        <v>16786.646099999998</v>
      </c>
      <c r="H246" s="51">
        <f>H265+H268+H292+H320+H323+H330+H334+H361++H363+H365+H367+H369+H373+H377</f>
        <v>500</v>
      </c>
      <c r="I246" s="51">
        <f>I265+I268+I292+I320+I323+I330+I334+I361++I363+I365+I367+I369+I373+I377</f>
        <v>682.68709</v>
      </c>
      <c r="J246" s="51">
        <f>J265+J268+J292+J320+J323+J330+J334+J361++J363+J365+J367+J369+J373+J377</f>
        <v>7994.538279999998</v>
      </c>
      <c r="K246" s="51">
        <f>K265+K268+K292+K320+K323+K330+K334+K361++K363+K365+K367+K369+K373+K377</f>
        <v>7609.42073</v>
      </c>
      <c r="L246" s="51">
        <f>L265+L268+L292+L320+L323+L330+L334+L361++L363+L365+L367+L369+L373+L377+L354</f>
        <v>8983.9</v>
      </c>
      <c r="M246" s="51">
        <f>M265+M268+M292+M320+M323+M330+M334+M361++M363+M365+M367+M369+M373+M377+M354</f>
        <v>8983.9</v>
      </c>
      <c r="N246" s="31"/>
      <c r="O246" s="31"/>
    </row>
    <row r="247" spans="1:38" ht="12" customHeight="1">
      <c r="A247" s="41" t="s">
        <v>28</v>
      </c>
      <c r="B247" s="55"/>
      <c r="C247" s="55"/>
      <c r="D247" s="55"/>
      <c r="E247" s="55"/>
      <c r="F247" s="48" t="s">
        <v>49</v>
      </c>
      <c r="G247" s="50">
        <f>H247+I247+J247+K247</f>
        <v>3070.5625</v>
      </c>
      <c r="H247" s="50">
        <f>H263+H269+H276+H295+H297+H302+H305+H307+H314+H316+H318+H325+H335+H339+H349+H351+H353+H357+H378</f>
        <v>137.99</v>
      </c>
      <c r="I247" s="50">
        <f aca="true" t="shared" si="118" ref="I247:AL247">I263+I269+I276+I295+I297+I302+I305+I307+I314+I316+I318+I325+I335+I339+I349+I351+I353+I357+I378</f>
        <v>474.74300000000005</v>
      </c>
      <c r="J247" s="50">
        <f t="shared" si="118"/>
        <v>782.1700000000001</v>
      </c>
      <c r="K247" s="50">
        <f t="shared" si="118"/>
        <v>1675.6595</v>
      </c>
      <c r="L247" s="50">
        <f t="shared" si="118"/>
        <v>374.67036</v>
      </c>
      <c r="M247" s="50">
        <f t="shared" si="118"/>
        <v>0</v>
      </c>
      <c r="N247" s="18">
        <f t="shared" si="118"/>
        <v>0</v>
      </c>
      <c r="O247" s="18">
        <f t="shared" si="118"/>
        <v>0</v>
      </c>
      <c r="P247" s="18">
        <f t="shared" si="118"/>
        <v>0</v>
      </c>
      <c r="Q247" s="18">
        <f t="shared" si="118"/>
        <v>0</v>
      </c>
      <c r="R247" s="18">
        <f t="shared" si="118"/>
        <v>0</v>
      </c>
      <c r="S247" s="18">
        <f t="shared" si="118"/>
        <v>0</v>
      </c>
      <c r="T247" s="18">
        <f t="shared" si="118"/>
        <v>0</v>
      </c>
      <c r="U247" s="18">
        <f t="shared" si="118"/>
        <v>0</v>
      </c>
      <c r="V247" s="18">
        <f t="shared" si="118"/>
        <v>0</v>
      </c>
      <c r="W247" s="18">
        <f t="shared" si="118"/>
        <v>0</v>
      </c>
      <c r="X247" s="18">
        <f t="shared" si="118"/>
        <v>0</v>
      </c>
      <c r="Y247" s="18">
        <f t="shared" si="118"/>
        <v>0</v>
      </c>
      <c r="Z247" s="18">
        <f t="shared" si="118"/>
        <v>0</v>
      </c>
      <c r="AA247" s="18">
        <f t="shared" si="118"/>
        <v>0</v>
      </c>
      <c r="AB247" s="18">
        <f t="shared" si="118"/>
        <v>0</v>
      </c>
      <c r="AC247" s="18">
        <f t="shared" si="118"/>
        <v>0</v>
      </c>
      <c r="AD247" s="18">
        <f t="shared" si="118"/>
        <v>0</v>
      </c>
      <c r="AE247" s="18">
        <f t="shared" si="118"/>
        <v>0</v>
      </c>
      <c r="AF247" s="18">
        <f t="shared" si="118"/>
        <v>0</v>
      </c>
      <c r="AG247" s="18">
        <f t="shared" si="118"/>
        <v>0</v>
      </c>
      <c r="AH247" s="18">
        <f t="shared" si="118"/>
        <v>0</v>
      </c>
      <c r="AI247" s="18">
        <f t="shared" si="118"/>
        <v>0</v>
      </c>
      <c r="AJ247" s="18">
        <f t="shared" si="118"/>
        <v>0</v>
      </c>
      <c r="AK247" s="18">
        <f t="shared" si="118"/>
        <v>0</v>
      </c>
      <c r="AL247" s="18">
        <f t="shared" si="118"/>
        <v>0</v>
      </c>
    </row>
    <row r="248" spans="1:15" ht="13.5" customHeight="1">
      <c r="A248" s="41" t="s">
        <v>29</v>
      </c>
      <c r="B248" s="55"/>
      <c r="C248" s="55"/>
      <c r="D248" s="55"/>
      <c r="E248" s="55"/>
      <c r="F248" s="48" t="s">
        <v>50</v>
      </c>
      <c r="G248" s="50">
        <f aca="true" t="shared" si="119" ref="G248:G254">H248+I248+J248+K248</f>
        <v>87642.52503</v>
      </c>
      <c r="H248" s="50">
        <f aca="true" t="shared" si="120" ref="H248:M248">H309+H311+H249+H250+H251</f>
        <v>1584.6112600000001</v>
      </c>
      <c r="I248" s="50">
        <f t="shared" si="120"/>
        <v>7774.46638</v>
      </c>
      <c r="J248" s="45">
        <f t="shared" si="120"/>
        <v>0</v>
      </c>
      <c r="K248" s="50">
        <f t="shared" si="120"/>
        <v>78283.44739</v>
      </c>
      <c r="L248" s="51">
        <f t="shared" si="120"/>
        <v>39800.200000000004</v>
      </c>
      <c r="M248" s="51">
        <f t="shared" si="120"/>
        <v>43421.9</v>
      </c>
      <c r="N248" s="31"/>
      <c r="O248" s="31"/>
    </row>
    <row r="249" spans="1:15" ht="13.5" customHeight="1" hidden="1">
      <c r="A249" s="41" t="s">
        <v>270</v>
      </c>
      <c r="B249" s="55"/>
      <c r="C249" s="55"/>
      <c r="D249" s="55"/>
      <c r="E249" s="55"/>
      <c r="F249" s="48" t="s">
        <v>269</v>
      </c>
      <c r="G249" s="50">
        <f t="shared" si="119"/>
        <v>0</v>
      </c>
      <c r="H249" s="50"/>
      <c r="I249" s="50"/>
      <c r="J249" s="50"/>
      <c r="K249" s="50"/>
      <c r="L249" s="50"/>
      <c r="M249" s="50"/>
      <c r="N249" s="31"/>
      <c r="O249" s="31"/>
    </row>
    <row r="250" spans="1:15" ht="29.25" customHeight="1">
      <c r="A250" s="61" t="s">
        <v>379</v>
      </c>
      <c r="B250" s="55"/>
      <c r="C250" s="55"/>
      <c r="D250" s="55"/>
      <c r="E250" s="55"/>
      <c r="F250" s="48" t="s">
        <v>380</v>
      </c>
      <c r="G250" s="50">
        <f t="shared" si="119"/>
        <v>4.77668</v>
      </c>
      <c r="H250" s="50">
        <f aca="true" t="shared" si="121" ref="H250:M250">H273</f>
        <v>4.77668</v>
      </c>
      <c r="I250" s="45">
        <f t="shared" si="121"/>
        <v>0</v>
      </c>
      <c r="J250" s="45">
        <f t="shared" si="121"/>
        <v>0</v>
      </c>
      <c r="K250" s="45">
        <f t="shared" si="121"/>
        <v>0</v>
      </c>
      <c r="L250" s="45">
        <f t="shared" si="121"/>
        <v>0</v>
      </c>
      <c r="M250" s="45">
        <f t="shared" si="121"/>
        <v>0</v>
      </c>
      <c r="N250" s="31"/>
      <c r="O250" s="31"/>
    </row>
    <row r="251" spans="1:15" ht="13.5" customHeight="1">
      <c r="A251" s="77" t="s">
        <v>387</v>
      </c>
      <c r="B251" s="55"/>
      <c r="C251" s="55"/>
      <c r="D251" s="55"/>
      <c r="E251" s="55"/>
      <c r="F251" s="48" t="s">
        <v>381</v>
      </c>
      <c r="G251" s="50">
        <f t="shared" si="119"/>
        <v>42033.43882</v>
      </c>
      <c r="H251" s="50">
        <f aca="true" t="shared" si="122" ref="H251:M251">H278+H280+H282+H285+H288</f>
        <v>1579.8345800000002</v>
      </c>
      <c r="I251" s="50">
        <f t="shared" si="122"/>
        <v>7774.46638</v>
      </c>
      <c r="J251" s="45">
        <f t="shared" si="122"/>
        <v>0</v>
      </c>
      <c r="K251" s="50">
        <f t="shared" si="122"/>
        <v>32679.137860000003</v>
      </c>
      <c r="L251" s="51">
        <f t="shared" si="122"/>
        <v>39800.200000000004</v>
      </c>
      <c r="M251" s="51">
        <f t="shared" si="122"/>
        <v>43421.9</v>
      </c>
      <c r="N251" s="31"/>
      <c r="O251" s="31"/>
    </row>
    <row r="252" spans="1:15" ht="15" customHeight="1">
      <c r="A252" s="43" t="s">
        <v>31</v>
      </c>
      <c r="B252" s="55"/>
      <c r="C252" s="55"/>
      <c r="D252" s="55"/>
      <c r="E252" s="55"/>
      <c r="F252" s="48" t="s">
        <v>52</v>
      </c>
      <c r="G252" s="51">
        <f t="shared" si="119"/>
        <v>834.44</v>
      </c>
      <c r="H252" s="45">
        <f aca="true" t="shared" si="123" ref="H252:M252">H254+H258</f>
        <v>0</v>
      </c>
      <c r="I252" s="45">
        <f t="shared" si="123"/>
        <v>0</v>
      </c>
      <c r="J252" s="51">
        <f t="shared" si="123"/>
        <v>0.75</v>
      </c>
      <c r="K252" s="51">
        <f t="shared" si="123"/>
        <v>833.69</v>
      </c>
      <c r="L252" s="45">
        <f t="shared" si="123"/>
        <v>0</v>
      </c>
      <c r="M252" s="51">
        <f t="shared" si="123"/>
        <v>908.1</v>
      </c>
      <c r="N252" s="31"/>
      <c r="O252" s="31"/>
    </row>
    <row r="253" spans="1:15" ht="15" customHeight="1">
      <c r="A253" s="43" t="s">
        <v>23</v>
      </c>
      <c r="B253" s="55"/>
      <c r="C253" s="55"/>
      <c r="D253" s="55"/>
      <c r="E253" s="55"/>
      <c r="F253" s="48"/>
      <c r="G253" s="51"/>
      <c r="H253" s="45"/>
      <c r="I253" s="45"/>
      <c r="J253" s="51"/>
      <c r="K253" s="51"/>
      <c r="L253" s="45"/>
      <c r="M253" s="51"/>
      <c r="N253" s="31"/>
      <c r="O253" s="31"/>
    </row>
    <row r="254" spans="1:15" ht="11.25" customHeight="1">
      <c r="A254" s="43" t="s">
        <v>32</v>
      </c>
      <c r="B254" s="55"/>
      <c r="C254" s="55"/>
      <c r="D254" s="55"/>
      <c r="E254" s="55"/>
      <c r="F254" s="48" t="s">
        <v>53</v>
      </c>
      <c r="G254" s="51">
        <f t="shared" si="119"/>
        <v>831.44</v>
      </c>
      <c r="H254" s="45">
        <f aca="true" t="shared" si="124" ref="H254:M254">H342+H283+H286+H299+H289</f>
        <v>0</v>
      </c>
      <c r="I254" s="45">
        <f t="shared" si="124"/>
        <v>0</v>
      </c>
      <c r="J254" s="51">
        <f t="shared" si="124"/>
        <v>0</v>
      </c>
      <c r="K254" s="51">
        <f t="shared" si="124"/>
        <v>831.44</v>
      </c>
      <c r="L254" s="45">
        <f t="shared" si="124"/>
        <v>0</v>
      </c>
      <c r="M254" s="51">
        <f t="shared" si="124"/>
        <v>908.1</v>
      </c>
      <c r="N254" s="31"/>
      <c r="O254" s="31"/>
    </row>
    <row r="255" spans="1:15" ht="14.25" customHeight="1" hidden="1">
      <c r="A255" s="43" t="s">
        <v>33</v>
      </c>
      <c r="B255" s="55"/>
      <c r="C255" s="55"/>
      <c r="D255" s="55"/>
      <c r="E255" s="55"/>
      <c r="F255" s="48" t="s">
        <v>54</v>
      </c>
      <c r="G255" s="50">
        <f>H255+J255+I255+K255</f>
        <v>0</v>
      </c>
      <c r="H255" s="45"/>
      <c r="I255" s="45"/>
      <c r="J255" s="51"/>
      <c r="K255" s="50"/>
      <c r="L255" s="45"/>
      <c r="M255" s="50"/>
      <c r="N255" s="31"/>
      <c r="O255" s="31"/>
    </row>
    <row r="256" spans="1:15" ht="12" customHeight="1" hidden="1">
      <c r="A256" s="43" t="s">
        <v>23</v>
      </c>
      <c r="B256" s="55"/>
      <c r="C256" s="55"/>
      <c r="D256" s="55"/>
      <c r="E256" s="55"/>
      <c r="F256" s="48"/>
      <c r="G256" s="50"/>
      <c r="H256" s="45"/>
      <c r="I256" s="45"/>
      <c r="J256" s="51"/>
      <c r="K256" s="50"/>
      <c r="L256" s="45"/>
      <c r="M256" s="50"/>
      <c r="N256" s="31"/>
      <c r="O256" s="31"/>
    </row>
    <row r="257" spans="1:15" ht="14.25" customHeight="1" hidden="1">
      <c r="A257" s="43" t="s">
        <v>34</v>
      </c>
      <c r="B257" s="55"/>
      <c r="C257" s="55"/>
      <c r="D257" s="55"/>
      <c r="E257" s="55"/>
      <c r="F257" s="48" t="s">
        <v>54</v>
      </c>
      <c r="G257" s="50">
        <f>H257+I257+J257+K257</f>
        <v>0</v>
      </c>
      <c r="H257" s="45"/>
      <c r="I257" s="45"/>
      <c r="J257" s="51"/>
      <c r="K257" s="50"/>
      <c r="L257" s="45"/>
      <c r="M257" s="50"/>
      <c r="N257" s="31"/>
      <c r="O257" s="31"/>
    </row>
    <row r="258" spans="1:15" ht="14.25" customHeight="1">
      <c r="A258" s="43" t="s">
        <v>35</v>
      </c>
      <c r="B258" s="55"/>
      <c r="C258" s="55"/>
      <c r="D258" s="55"/>
      <c r="E258" s="55"/>
      <c r="F258" s="48" t="s">
        <v>340</v>
      </c>
      <c r="G258" s="51">
        <f>H258+I258+J258+K258</f>
        <v>3</v>
      </c>
      <c r="H258" s="45">
        <f aca="true" t="shared" si="125" ref="H258:M258">H340+H359</f>
        <v>0</v>
      </c>
      <c r="I258" s="45">
        <f t="shared" si="125"/>
        <v>0</v>
      </c>
      <c r="J258" s="51">
        <f t="shared" si="125"/>
        <v>0.75</v>
      </c>
      <c r="K258" s="51">
        <f t="shared" si="125"/>
        <v>2.25</v>
      </c>
      <c r="L258" s="45">
        <f t="shared" si="125"/>
        <v>0</v>
      </c>
      <c r="M258" s="45">
        <f t="shared" si="125"/>
        <v>0</v>
      </c>
      <c r="N258" s="31"/>
      <c r="O258" s="31"/>
    </row>
    <row r="259" spans="1:15" ht="15.75" customHeight="1" hidden="1">
      <c r="A259" s="41"/>
      <c r="B259" s="55"/>
      <c r="C259" s="55"/>
      <c r="D259" s="55"/>
      <c r="E259" s="55"/>
      <c r="F259" s="55"/>
      <c r="G259" s="56"/>
      <c r="H259" s="56"/>
      <c r="I259" s="56"/>
      <c r="J259" s="56"/>
      <c r="K259" s="56"/>
      <c r="L259" s="56"/>
      <c r="M259" s="56"/>
      <c r="N259" s="31"/>
      <c r="O259" s="31"/>
    </row>
    <row r="260" spans="1:15" ht="20.25" customHeight="1">
      <c r="A260" s="62" t="s">
        <v>57</v>
      </c>
      <c r="B260" s="55" t="s">
        <v>76</v>
      </c>
      <c r="C260" s="55" t="s">
        <v>58</v>
      </c>
      <c r="D260" s="55" t="s">
        <v>151</v>
      </c>
      <c r="E260" s="55" t="s">
        <v>59</v>
      </c>
      <c r="F260" s="55"/>
      <c r="G260" s="56">
        <f aca="true" t="shared" si="126" ref="G260:G269">H260+I260+J260+K260</f>
        <v>119641.30591</v>
      </c>
      <c r="H260" s="56">
        <f aca="true" t="shared" si="127" ref="H260:M260">H261+H293+H321+H379</f>
        <v>5462.11981</v>
      </c>
      <c r="I260" s="56">
        <f t="shared" si="127"/>
        <v>10963.712059999998</v>
      </c>
      <c r="J260" s="56">
        <f t="shared" si="127"/>
        <v>10643.782519999999</v>
      </c>
      <c r="K260" s="56">
        <f t="shared" si="127"/>
        <v>92571.69152</v>
      </c>
      <c r="L260" s="56">
        <f t="shared" si="127"/>
        <v>58115.670360000004</v>
      </c>
      <c r="M260" s="58">
        <f t="shared" si="127"/>
        <v>63777.899999999994</v>
      </c>
      <c r="N260" s="31"/>
      <c r="O260" s="31"/>
    </row>
    <row r="261" spans="1:26" ht="14.25" customHeight="1">
      <c r="A261" s="62" t="s">
        <v>129</v>
      </c>
      <c r="B261" s="55" t="s">
        <v>76</v>
      </c>
      <c r="C261" s="55" t="s">
        <v>130</v>
      </c>
      <c r="D261" s="55" t="s">
        <v>151</v>
      </c>
      <c r="E261" s="55" t="s">
        <v>59</v>
      </c>
      <c r="F261" s="55"/>
      <c r="G261" s="56">
        <f t="shared" si="126"/>
        <v>44350.267060000006</v>
      </c>
      <c r="H261" s="56">
        <f aca="true" t="shared" si="128" ref="H261:M261">H262+H264+H266+H272+H274+H290</f>
        <v>1711.4344800000001</v>
      </c>
      <c r="I261" s="56">
        <f t="shared" si="128"/>
        <v>8457.15347</v>
      </c>
      <c r="J261" s="56">
        <f t="shared" si="128"/>
        <v>337.10821</v>
      </c>
      <c r="K261" s="59">
        <f t="shared" si="128"/>
        <v>33844.570900000006</v>
      </c>
      <c r="L261" s="58">
        <f t="shared" si="128"/>
        <v>41165.4</v>
      </c>
      <c r="M261" s="58">
        <f t="shared" si="128"/>
        <v>44787.1</v>
      </c>
      <c r="N261" s="31"/>
      <c r="O261" s="31"/>
      <c r="Z261" s="12">
        <f>G264+G274+G293+G322+G327+G347</f>
        <v>103129.20571000001</v>
      </c>
    </row>
    <row r="262" spans="1:26" ht="21.75" customHeight="1">
      <c r="A262" s="74" t="s">
        <v>373</v>
      </c>
      <c r="B262" s="78" t="s">
        <v>76</v>
      </c>
      <c r="C262" s="55" t="s">
        <v>130</v>
      </c>
      <c r="D262" s="55" t="s">
        <v>374</v>
      </c>
      <c r="E262" s="55" t="s">
        <v>125</v>
      </c>
      <c r="F262" s="55"/>
      <c r="G262" s="58">
        <f t="shared" si="126"/>
        <v>11.77000000000001</v>
      </c>
      <c r="H262" s="58">
        <f aca="true" t="shared" si="129" ref="H262:M262">H263</f>
        <v>11.77000000000001</v>
      </c>
      <c r="I262" s="60">
        <f t="shared" si="129"/>
        <v>0</v>
      </c>
      <c r="J262" s="60">
        <f t="shared" si="129"/>
        <v>0</v>
      </c>
      <c r="K262" s="60">
        <f t="shared" si="129"/>
        <v>0</v>
      </c>
      <c r="L262" s="60">
        <f t="shared" si="129"/>
        <v>0</v>
      </c>
      <c r="M262" s="60">
        <f t="shared" si="129"/>
        <v>0</v>
      </c>
      <c r="N262" s="31"/>
      <c r="O262" s="31"/>
      <c r="Z262" s="12"/>
    </row>
    <row r="263" spans="1:26" ht="24" customHeight="1">
      <c r="A263" s="79" t="s">
        <v>305</v>
      </c>
      <c r="B263" s="48" t="s">
        <v>76</v>
      </c>
      <c r="C263" s="48" t="s">
        <v>130</v>
      </c>
      <c r="D263" s="48" t="s">
        <v>374</v>
      </c>
      <c r="E263" s="48" t="s">
        <v>95</v>
      </c>
      <c r="F263" s="48" t="s">
        <v>49</v>
      </c>
      <c r="G263" s="51">
        <f t="shared" si="126"/>
        <v>11.77000000000001</v>
      </c>
      <c r="H263" s="51">
        <f>29.77+182-28.22-171.78</f>
        <v>11.77000000000001</v>
      </c>
      <c r="I263" s="45">
        <f>171.78-100-45-26.78</f>
        <v>0</v>
      </c>
      <c r="J263" s="45">
        <v>0</v>
      </c>
      <c r="K263" s="45">
        <v>0</v>
      </c>
      <c r="L263" s="45">
        <v>0</v>
      </c>
      <c r="M263" s="45">
        <v>0</v>
      </c>
      <c r="N263" s="31"/>
      <c r="O263" s="31"/>
      <c r="Z263" s="12"/>
    </row>
    <row r="264" spans="1:15" ht="42" customHeight="1">
      <c r="A264" s="43" t="s">
        <v>375</v>
      </c>
      <c r="B264" s="55" t="s">
        <v>76</v>
      </c>
      <c r="C264" s="55" t="s">
        <v>130</v>
      </c>
      <c r="D264" s="55" t="s">
        <v>152</v>
      </c>
      <c r="E264" s="55" t="s">
        <v>125</v>
      </c>
      <c r="F264" s="55"/>
      <c r="G264" s="60">
        <f t="shared" si="126"/>
        <v>0</v>
      </c>
      <c r="H264" s="60">
        <f aca="true" t="shared" si="130" ref="H264:M264">H265</f>
        <v>0</v>
      </c>
      <c r="I264" s="60">
        <f t="shared" si="130"/>
        <v>0</v>
      </c>
      <c r="J264" s="60">
        <f t="shared" si="130"/>
        <v>0</v>
      </c>
      <c r="K264" s="60">
        <f t="shared" si="130"/>
        <v>0</v>
      </c>
      <c r="L264" s="58">
        <f t="shared" si="130"/>
        <v>1365.2</v>
      </c>
      <c r="M264" s="58">
        <f t="shared" si="130"/>
        <v>1365.2</v>
      </c>
      <c r="N264" s="31"/>
      <c r="O264" s="31"/>
    </row>
    <row r="265" spans="1:15" ht="23.25" customHeight="1">
      <c r="A265" s="41" t="s">
        <v>308</v>
      </c>
      <c r="B265" s="48" t="s">
        <v>76</v>
      </c>
      <c r="C265" s="48" t="s">
        <v>130</v>
      </c>
      <c r="D265" s="48" t="s">
        <v>152</v>
      </c>
      <c r="E265" s="48" t="s">
        <v>95</v>
      </c>
      <c r="F265" s="48" t="s">
        <v>48</v>
      </c>
      <c r="G265" s="45">
        <f t="shared" si="126"/>
        <v>0</v>
      </c>
      <c r="H265" s="45">
        <f>334.8-71.94745+80-342.85255</f>
        <v>0</v>
      </c>
      <c r="I265" s="45">
        <f>90+270.84745+342.85255-1.34-702.36</f>
        <v>0</v>
      </c>
      <c r="J265" s="45">
        <f>90+275-365</f>
        <v>0</v>
      </c>
      <c r="K265" s="45">
        <f>90+275-365</f>
        <v>0</v>
      </c>
      <c r="L265" s="51">
        <v>1365.2</v>
      </c>
      <c r="M265" s="51">
        <v>1365.2</v>
      </c>
      <c r="N265" s="31"/>
      <c r="O265" s="31"/>
    </row>
    <row r="266" spans="1:15" ht="45" customHeight="1">
      <c r="A266" s="80" t="s">
        <v>376</v>
      </c>
      <c r="B266" s="81" t="s">
        <v>76</v>
      </c>
      <c r="C266" s="81" t="s">
        <v>130</v>
      </c>
      <c r="D266" s="81" t="s">
        <v>377</v>
      </c>
      <c r="E266" s="81" t="s">
        <v>125</v>
      </c>
      <c r="F266" s="63"/>
      <c r="G266" s="97">
        <f t="shared" si="126"/>
        <v>250.94056</v>
      </c>
      <c r="H266" s="97">
        <f aca="true" t="shared" si="131" ref="H266:M266">H267+H270</f>
        <v>115.05322</v>
      </c>
      <c r="I266" s="97">
        <f t="shared" si="131"/>
        <v>110.71695000000003</v>
      </c>
      <c r="J266" s="97">
        <f t="shared" si="131"/>
        <v>10.78730999999999</v>
      </c>
      <c r="K266" s="97">
        <f t="shared" si="131"/>
        <v>14.383080000000007</v>
      </c>
      <c r="L266" s="98">
        <f t="shared" si="131"/>
        <v>0</v>
      </c>
      <c r="M266" s="98">
        <f t="shared" si="131"/>
        <v>0</v>
      </c>
      <c r="N266" s="31"/>
      <c r="O266" s="31"/>
    </row>
    <row r="267" spans="1:15" ht="23.25" customHeight="1">
      <c r="A267" s="43" t="s">
        <v>23</v>
      </c>
      <c r="B267" s="48" t="s">
        <v>76</v>
      </c>
      <c r="C267" s="48" t="s">
        <v>130</v>
      </c>
      <c r="D267" s="48" t="s">
        <v>377</v>
      </c>
      <c r="E267" s="48" t="s">
        <v>95</v>
      </c>
      <c r="F267" s="48"/>
      <c r="G267" s="50">
        <f t="shared" si="126"/>
        <v>233.88734000000002</v>
      </c>
      <c r="H267" s="51">
        <f aca="true" t="shared" si="132" ref="H267:M267">H268+H269</f>
        <v>98</v>
      </c>
      <c r="I267" s="50">
        <f t="shared" si="132"/>
        <v>110.71695000000003</v>
      </c>
      <c r="J267" s="50">
        <f t="shared" si="132"/>
        <v>10.78730999999999</v>
      </c>
      <c r="K267" s="50">
        <f t="shared" si="132"/>
        <v>14.383080000000007</v>
      </c>
      <c r="L267" s="45">
        <f t="shared" si="132"/>
        <v>0</v>
      </c>
      <c r="M267" s="45">
        <f t="shared" si="132"/>
        <v>0</v>
      </c>
      <c r="N267" s="31"/>
      <c r="O267" s="31"/>
    </row>
    <row r="268" spans="1:15" ht="23.25" customHeight="1">
      <c r="A268" s="41" t="s">
        <v>126</v>
      </c>
      <c r="B268" s="48" t="s">
        <v>76</v>
      </c>
      <c r="C268" s="48" t="s">
        <v>130</v>
      </c>
      <c r="D268" s="48" t="s">
        <v>377</v>
      </c>
      <c r="E268" s="48" t="s">
        <v>95</v>
      </c>
      <c r="F268" s="48" t="s">
        <v>48</v>
      </c>
      <c r="G268" s="50">
        <f t="shared" si="126"/>
        <v>135.88734000000002</v>
      </c>
      <c r="H268" s="45">
        <f>146.37745-21.8299-98-26.54755</f>
        <v>0</v>
      </c>
      <c r="I268" s="50">
        <f>362.46255+26.54755-150-128.29315</f>
        <v>110.71695000000003</v>
      </c>
      <c r="J268" s="50">
        <f>128.29315-117.50584</f>
        <v>10.78730999999999</v>
      </c>
      <c r="K268" s="50">
        <f>117.50584-85.616-17.50676</f>
        <v>14.383080000000007</v>
      </c>
      <c r="L268" s="45">
        <v>0</v>
      </c>
      <c r="M268" s="45">
        <v>0</v>
      </c>
      <c r="N268" s="31"/>
      <c r="O268" s="31"/>
    </row>
    <row r="269" spans="1:15" ht="23.25" customHeight="1">
      <c r="A269" s="79" t="s">
        <v>305</v>
      </c>
      <c r="B269" s="48" t="s">
        <v>76</v>
      </c>
      <c r="C269" s="48" t="s">
        <v>130</v>
      </c>
      <c r="D269" s="48" t="s">
        <v>377</v>
      </c>
      <c r="E269" s="48" t="s">
        <v>95</v>
      </c>
      <c r="F269" s="48" t="s">
        <v>49</v>
      </c>
      <c r="G269" s="51">
        <f t="shared" si="126"/>
        <v>98</v>
      </c>
      <c r="H269" s="51">
        <v>98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31"/>
      <c r="O269" s="31"/>
    </row>
    <row r="270" spans="1:15" ht="23.25" customHeight="1">
      <c r="A270" s="82" t="s">
        <v>23</v>
      </c>
      <c r="B270" s="48" t="s">
        <v>76</v>
      </c>
      <c r="C270" s="48" t="s">
        <v>130</v>
      </c>
      <c r="D270" s="48" t="s">
        <v>377</v>
      </c>
      <c r="E270" s="48" t="s">
        <v>347</v>
      </c>
      <c r="F270" s="48"/>
      <c r="G270" s="50">
        <f aca="true" t="shared" si="133" ref="G270:G280">H270+I270+J270+K270</f>
        <v>17.05322</v>
      </c>
      <c r="H270" s="50">
        <f aca="true" t="shared" si="134" ref="H270:M270">H271</f>
        <v>17.05322</v>
      </c>
      <c r="I270" s="45">
        <f t="shared" si="134"/>
        <v>0</v>
      </c>
      <c r="J270" s="45">
        <f t="shared" si="134"/>
        <v>0</v>
      </c>
      <c r="K270" s="45">
        <f t="shared" si="134"/>
        <v>0</v>
      </c>
      <c r="L270" s="60">
        <f t="shared" si="134"/>
        <v>0</v>
      </c>
      <c r="M270" s="60">
        <f t="shared" si="134"/>
        <v>0</v>
      </c>
      <c r="N270" s="31"/>
      <c r="O270" s="31"/>
    </row>
    <row r="271" spans="1:15" ht="23.25" customHeight="1">
      <c r="A271" s="41" t="s">
        <v>25</v>
      </c>
      <c r="B271" s="48" t="s">
        <v>76</v>
      </c>
      <c r="C271" s="48" t="s">
        <v>130</v>
      </c>
      <c r="D271" s="48" t="s">
        <v>377</v>
      </c>
      <c r="E271" s="48" t="s">
        <v>347</v>
      </c>
      <c r="F271" s="48" t="s">
        <v>188</v>
      </c>
      <c r="G271" s="50">
        <f t="shared" si="133"/>
        <v>17.05322</v>
      </c>
      <c r="H271" s="50">
        <v>17.05322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31"/>
      <c r="O271" s="31"/>
    </row>
    <row r="272" spans="1:15" ht="23.25" customHeight="1">
      <c r="A272" s="80" t="s">
        <v>378</v>
      </c>
      <c r="B272" s="63" t="s">
        <v>76</v>
      </c>
      <c r="C272" s="63" t="s">
        <v>130</v>
      </c>
      <c r="D272" s="63" t="s">
        <v>377</v>
      </c>
      <c r="E272" s="63" t="s">
        <v>351</v>
      </c>
      <c r="F272" s="63"/>
      <c r="G272" s="69">
        <f t="shared" si="133"/>
        <v>4.77668</v>
      </c>
      <c r="H272" s="69">
        <f aca="true" t="shared" si="135" ref="H272:M272">H273</f>
        <v>4.77668</v>
      </c>
      <c r="I272" s="98">
        <f t="shared" si="135"/>
        <v>0</v>
      </c>
      <c r="J272" s="98">
        <f t="shared" si="135"/>
        <v>0</v>
      </c>
      <c r="K272" s="98">
        <f t="shared" si="135"/>
        <v>0</v>
      </c>
      <c r="L272" s="98">
        <f t="shared" si="135"/>
        <v>0</v>
      </c>
      <c r="M272" s="98">
        <f t="shared" si="135"/>
        <v>0</v>
      </c>
      <c r="N272" s="31"/>
      <c r="O272" s="31"/>
    </row>
    <row r="273" spans="1:15" ht="23.25" customHeight="1">
      <c r="A273" s="61" t="s">
        <v>379</v>
      </c>
      <c r="B273" s="48" t="s">
        <v>76</v>
      </c>
      <c r="C273" s="48" t="s">
        <v>130</v>
      </c>
      <c r="D273" s="48" t="s">
        <v>377</v>
      </c>
      <c r="E273" s="48" t="s">
        <v>209</v>
      </c>
      <c r="F273" s="48" t="s">
        <v>380</v>
      </c>
      <c r="G273" s="50">
        <f t="shared" si="133"/>
        <v>4.77668</v>
      </c>
      <c r="H273" s="50">
        <v>4.77668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31"/>
      <c r="O273" s="31"/>
    </row>
    <row r="274" spans="1:15" ht="69" customHeight="1">
      <c r="A274" s="62" t="s">
        <v>326</v>
      </c>
      <c r="B274" s="55" t="s">
        <v>76</v>
      </c>
      <c r="C274" s="55" t="s">
        <v>130</v>
      </c>
      <c r="D274" s="55" t="s">
        <v>317</v>
      </c>
      <c r="E274" s="55" t="s">
        <v>59</v>
      </c>
      <c r="F274" s="55"/>
      <c r="G274" s="56">
        <f t="shared" si="133"/>
        <v>42729.128820000005</v>
      </c>
      <c r="H274" s="56">
        <f aca="true" t="shared" si="136" ref="H274:M274">H275+H277+H279+H281+H284+H287</f>
        <v>1579.8345800000002</v>
      </c>
      <c r="I274" s="56">
        <f t="shared" si="136"/>
        <v>7774.46638</v>
      </c>
      <c r="J274" s="58">
        <f t="shared" si="136"/>
        <v>5</v>
      </c>
      <c r="K274" s="56">
        <f t="shared" si="136"/>
        <v>33369.827860000005</v>
      </c>
      <c r="L274" s="58">
        <f t="shared" si="136"/>
        <v>39800.200000000004</v>
      </c>
      <c r="M274" s="58">
        <f t="shared" si="136"/>
        <v>43421.9</v>
      </c>
      <c r="N274" s="31"/>
      <c r="O274" s="31"/>
    </row>
    <row r="275" spans="1:15" ht="42.75" customHeight="1">
      <c r="A275" s="83" t="s">
        <v>229</v>
      </c>
      <c r="B275" s="48" t="s">
        <v>76</v>
      </c>
      <c r="C275" s="48" t="s">
        <v>130</v>
      </c>
      <c r="D275" s="48" t="s">
        <v>228</v>
      </c>
      <c r="E275" s="48" t="s">
        <v>95</v>
      </c>
      <c r="F275" s="48"/>
      <c r="G275" s="51">
        <f t="shared" si="133"/>
        <v>5</v>
      </c>
      <c r="H275" s="45">
        <f aca="true" t="shared" si="137" ref="H275:M275">H276</f>
        <v>0</v>
      </c>
      <c r="I275" s="45">
        <f t="shared" si="137"/>
        <v>0</v>
      </c>
      <c r="J275" s="51">
        <f t="shared" si="137"/>
        <v>5</v>
      </c>
      <c r="K275" s="45">
        <f t="shared" si="137"/>
        <v>0</v>
      </c>
      <c r="L275" s="45">
        <f t="shared" si="137"/>
        <v>0</v>
      </c>
      <c r="M275" s="45">
        <f t="shared" si="137"/>
        <v>0</v>
      </c>
      <c r="N275" s="31"/>
      <c r="O275" s="31"/>
    </row>
    <row r="276" spans="1:15" ht="14.25" customHeight="1">
      <c r="A276" s="84" t="s">
        <v>126</v>
      </c>
      <c r="B276" s="48" t="s">
        <v>76</v>
      </c>
      <c r="C276" s="48" t="s">
        <v>130</v>
      </c>
      <c r="D276" s="48" t="s">
        <v>228</v>
      </c>
      <c r="E276" s="48" t="s">
        <v>95</v>
      </c>
      <c r="F276" s="48" t="s">
        <v>49</v>
      </c>
      <c r="G276" s="51">
        <f t="shared" si="133"/>
        <v>5</v>
      </c>
      <c r="H276" s="45">
        <f>3.5-3.5</f>
        <v>0</v>
      </c>
      <c r="I276" s="45">
        <f>3.5+7-10.5</f>
        <v>0</v>
      </c>
      <c r="J276" s="51">
        <v>5</v>
      </c>
      <c r="K276" s="45">
        <v>0</v>
      </c>
      <c r="L276" s="45">
        <f>45-45</f>
        <v>0</v>
      </c>
      <c r="M276" s="45">
        <v>0</v>
      </c>
      <c r="N276" s="31"/>
      <c r="O276" s="31"/>
    </row>
    <row r="277" spans="1:37" ht="78.75" customHeight="1">
      <c r="A277" s="43" t="s">
        <v>327</v>
      </c>
      <c r="B277" s="48" t="s">
        <v>76</v>
      </c>
      <c r="C277" s="48" t="s">
        <v>130</v>
      </c>
      <c r="D277" s="48" t="s">
        <v>244</v>
      </c>
      <c r="E277" s="48" t="s">
        <v>237</v>
      </c>
      <c r="F277" s="48"/>
      <c r="G277" s="51">
        <f t="shared" si="133"/>
        <v>1749</v>
      </c>
      <c r="H277" s="45">
        <f aca="true" t="shared" si="138" ref="H277:M277">H278</f>
        <v>0</v>
      </c>
      <c r="I277" s="50">
        <f t="shared" si="138"/>
        <v>1237.9233199999999</v>
      </c>
      <c r="J277" s="45">
        <f t="shared" si="138"/>
        <v>0</v>
      </c>
      <c r="K277" s="50">
        <f t="shared" si="138"/>
        <v>511.07668</v>
      </c>
      <c r="L277" s="51">
        <f t="shared" si="138"/>
        <v>1376.1</v>
      </c>
      <c r="M277" s="51">
        <f t="shared" si="138"/>
        <v>1393.6</v>
      </c>
      <c r="N277" s="31"/>
      <c r="O277" s="31"/>
      <c r="AJ277" s="37">
        <f>G277+G279</f>
        <v>2159.3</v>
      </c>
      <c r="AK277" s="12"/>
    </row>
    <row r="278" spans="1:15" ht="17.25" customHeight="1">
      <c r="A278" s="70" t="s">
        <v>247</v>
      </c>
      <c r="B278" s="48" t="s">
        <v>76</v>
      </c>
      <c r="C278" s="48" t="s">
        <v>130</v>
      </c>
      <c r="D278" s="48" t="s">
        <v>244</v>
      </c>
      <c r="E278" s="48" t="s">
        <v>245</v>
      </c>
      <c r="F278" s="48" t="s">
        <v>381</v>
      </c>
      <c r="G278" s="51">
        <f t="shared" si="133"/>
        <v>1749</v>
      </c>
      <c r="H278" s="45">
        <v>0</v>
      </c>
      <c r="I278" s="50">
        <f>583+654.92332</f>
        <v>1237.9233199999999</v>
      </c>
      <c r="J278" s="45">
        <f>583-583</f>
        <v>0</v>
      </c>
      <c r="K278" s="50">
        <f>583-71.92332</f>
        <v>511.07668</v>
      </c>
      <c r="L278" s="51">
        <v>1376.1</v>
      </c>
      <c r="M278" s="51">
        <v>1393.6</v>
      </c>
      <c r="N278" s="31"/>
      <c r="O278" s="31"/>
    </row>
    <row r="279" spans="1:15" ht="69" customHeight="1">
      <c r="A279" s="43" t="s">
        <v>289</v>
      </c>
      <c r="B279" s="48" t="s">
        <v>76</v>
      </c>
      <c r="C279" s="48" t="s">
        <v>130</v>
      </c>
      <c r="D279" s="48" t="s">
        <v>246</v>
      </c>
      <c r="E279" s="48" t="s">
        <v>237</v>
      </c>
      <c r="F279" s="48"/>
      <c r="G279" s="51">
        <f t="shared" si="133"/>
        <v>410.29999999999995</v>
      </c>
      <c r="H279" s="45">
        <f aca="true" t="shared" si="139" ref="H279:M279">H280</f>
        <v>0</v>
      </c>
      <c r="I279" s="50">
        <f t="shared" si="139"/>
        <v>290.37708</v>
      </c>
      <c r="J279" s="45">
        <f t="shared" si="139"/>
        <v>0</v>
      </c>
      <c r="K279" s="50">
        <f t="shared" si="139"/>
        <v>119.92292</v>
      </c>
      <c r="L279" s="51">
        <f t="shared" si="139"/>
        <v>322.8</v>
      </c>
      <c r="M279" s="51">
        <f t="shared" si="139"/>
        <v>297.5</v>
      </c>
      <c r="N279" s="31"/>
      <c r="O279" s="31"/>
    </row>
    <row r="280" spans="1:15" ht="14.25" customHeight="1">
      <c r="A280" s="64" t="s">
        <v>247</v>
      </c>
      <c r="B280" s="48" t="s">
        <v>76</v>
      </c>
      <c r="C280" s="48" t="s">
        <v>130</v>
      </c>
      <c r="D280" s="48" t="s">
        <v>246</v>
      </c>
      <c r="E280" s="48" t="s">
        <v>245</v>
      </c>
      <c r="F280" s="48" t="s">
        <v>381</v>
      </c>
      <c r="G280" s="51">
        <f t="shared" si="133"/>
        <v>410.29999999999995</v>
      </c>
      <c r="H280" s="45">
        <v>0</v>
      </c>
      <c r="I280" s="50">
        <f>136.7+153.67708</f>
        <v>290.37708</v>
      </c>
      <c r="J280" s="45">
        <f>136.8-136.8</f>
        <v>0</v>
      </c>
      <c r="K280" s="50">
        <f>136.8-16.87708</f>
        <v>119.92292</v>
      </c>
      <c r="L280" s="51">
        <v>322.8</v>
      </c>
      <c r="M280" s="51">
        <v>297.5</v>
      </c>
      <c r="N280" s="31"/>
      <c r="O280" s="31"/>
    </row>
    <row r="281" spans="1:36" ht="72" customHeight="1">
      <c r="A281" s="43" t="s">
        <v>291</v>
      </c>
      <c r="B281" s="48" t="s">
        <v>76</v>
      </c>
      <c r="C281" s="48" t="s">
        <v>130</v>
      </c>
      <c r="D281" s="48" t="s">
        <v>252</v>
      </c>
      <c r="E281" s="48" t="s">
        <v>237</v>
      </c>
      <c r="F281" s="48"/>
      <c r="G281" s="51">
        <f aca="true" t="shared" si="140" ref="G281:G289">H281+I281+J281+K281</f>
        <v>609.8</v>
      </c>
      <c r="H281" s="50">
        <f>H282+H283</f>
        <v>23.81634</v>
      </c>
      <c r="I281" s="50">
        <f>I282+I283</f>
        <v>93.57367</v>
      </c>
      <c r="J281" s="45">
        <f>J282+J283</f>
        <v>0</v>
      </c>
      <c r="K281" s="50">
        <f>K282+K283</f>
        <v>492.40999</v>
      </c>
      <c r="L281" s="51">
        <f>L282</f>
        <v>571.5</v>
      </c>
      <c r="M281" s="51">
        <f>M282</f>
        <v>626</v>
      </c>
      <c r="N281" s="31"/>
      <c r="O281" s="31"/>
      <c r="AJ281" s="37">
        <f>G281+G284+G287</f>
        <v>40564.82882</v>
      </c>
    </row>
    <row r="282" spans="1:15" ht="14.25" customHeight="1">
      <c r="A282" s="70" t="s">
        <v>247</v>
      </c>
      <c r="B282" s="48" t="s">
        <v>76</v>
      </c>
      <c r="C282" s="48" t="s">
        <v>130</v>
      </c>
      <c r="D282" s="48" t="s">
        <v>252</v>
      </c>
      <c r="E282" s="48" t="s">
        <v>245</v>
      </c>
      <c r="F282" s="48" t="s">
        <v>381</v>
      </c>
      <c r="G282" s="50">
        <f t="shared" si="140"/>
        <v>599.43965</v>
      </c>
      <c r="H282" s="50">
        <v>23.81634</v>
      </c>
      <c r="I282" s="50">
        <f>39.7-23.81634+68.5175+9.17251</f>
        <v>93.57367</v>
      </c>
      <c r="J282" s="45">
        <f>39.7-39.7</f>
        <v>0</v>
      </c>
      <c r="K282" s="50">
        <f>39.7-28.8175-9.17251+192.975+41.38146+256.34354-10.36035</f>
        <v>482.04964</v>
      </c>
      <c r="L282" s="51">
        <v>571.5</v>
      </c>
      <c r="M282" s="51">
        <v>626</v>
      </c>
      <c r="N282" s="31"/>
      <c r="O282" s="31"/>
    </row>
    <row r="283" spans="1:15" ht="14.25" customHeight="1">
      <c r="A283" s="70" t="s">
        <v>247</v>
      </c>
      <c r="B283" s="48" t="s">
        <v>76</v>
      </c>
      <c r="C283" s="48" t="s">
        <v>130</v>
      </c>
      <c r="D283" s="48" t="s">
        <v>252</v>
      </c>
      <c r="E283" s="48" t="s">
        <v>245</v>
      </c>
      <c r="F283" s="48" t="s">
        <v>53</v>
      </c>
      <c r="G283" s="50">
        <f t="shared" si="140"/>
        <v>10.36035</v>
      </c>
      <c r="H283" s="45">
        <v>0</v>
      </c>
      <c r="I283" s="45">
        <v>0</v>
      </c>
      <c r="J283" s="45">
        <v>0</v>
      </c>
      <c r="K283" s="50">
        <v>10.36035</v>
      </c>
      <c r="L283" s="51">
        <v>0</v>
      </c>
      <c r="M283" s="51">
        <v>0</v>
      </c>
      <c r="N283" s="31"/>
      <c r="O283" s="31"/>
    </row>
    <row r="284" spans="1:15" ht="66.75" customHeight="1">
      <c r="A284" s="43" t="s">
        <v>292</v>
      </c>
      <c r="B284" s="48" t="s">
        <v>76</v>
      </c>
      <c r="C284" s="48" t="s">
        <v>130</v>
      </c>
      <c r="D284" s="48" t="s">
        <v>253</v>
      </c>
      <c r="E284" s="48" t="s">
        <v>237</v>
      </c>
      <c r="F284" s="48"/>
      <c r="G284" s="50">
        <f t="shared" si="140"/>
        <v>117.72882</v>
      </c>
      <c r="H284" s="45">
        <f aca="true" t="shared" si="141" ref="H284:M284">H285+H286</f>
        <v>0</v>
      </c>
      <c r="I284" s="51">
        <f t="shared" si="141"/>
        <v>39.129999999999995</v>
      </c>
      <c r="J284" s="45">
        <f t="shared" si="141"/>
        <v>0</v>
      </c>
      <c r="K284" s="51">
        <f t="shared" si="141"/>
        <v>78.59882</v>
      </c>
      <c r="L284" s="51">
        <f t="shared" si="141"/>
        <v>190.5</v>
      </c>
      <c r="M284" s="51">
        <f t="shared" si="141"/>
        <v>208.7</v>
      </c>
      <c r="N284" s="31"/>
      <c r="O284" s="31"/>
    </row>
    <row r="285" spans="1:15" ht="14.25" customHeight="1">
      <c r="A285" s="70" t="s">
        <v>247</v>
      </c>
      <c r="B285" s="48" t="s">
        <v>76</v>
      </c>
      <c r="C285" s="48" t="s">
        <v>130</v>
      </c>
      <c r="D285" s="48" t="s">
        <v>253</v>
      </c>
      <c r="E285" s="48" t="s">
        <v>245</v>
      </c>
      <c r="F285" s="48" t="s">
        <v>381</v>
      </c>
      <c r="G285" s="50">
        <f t="shared" si="140"/>
        <v>114.27537</v>
      </c>
      <c r="H285" s="45">
        <v>0</v>
      </c>
      <c r="I285" s="51">
        <f>13.2+0.01+22.8625+3.0575</f>
        <v>39.129999999999995</v>
      </c>
      <c r="J285" s="45">
        <f>13.2-13.2</f>
        <v>0</v>
      </c>
      <c r="K285" s="50">
        <f>13.2-9.6625-3.0575+64.325+13.79382-3.45345</f>
        <v>75.14537</v>
      </c>
      <c r="L285" s="51">
        <v>190.5</v>
      </c>
      <c r="M285" s="51">
        <v>208.7</v>
      </c>
      <c r="N285" s="31"/>
      <c r="O285" s="31"/>
    </row>
    <row r="286" spans="1:15" ht="14.25" customHeight="1">
      <c r="A286" s="43" t="s">
        <v>32</v>
      </c>
      <c r="B286" s="48" t="s">
        <v>76</v>
      </c>
      <c r="C286" s="48" t="s">
        <v>130</v>
      </c>
      <c r="D286" s="48" t="s">
        <v>253</v>
      </c>
      <c r="E286" s="48" t="s">
        <v>245</v>
      </c>
      <c r="F286" s="48" t="s">
        <v>53</v>
      </c>
      <c r="G286" s="50">
        <f t="shared" si="140"/>
        <v>3.45345</v>
      </c>
      <c r="H286" s="45">
        <v>0</v>
      </c>
      <c r="I286" s="45">
        <v>0</v>
      </c>
      <c r="J286" s="45">
        <v>0</v>
      </c>
      <c r="K286" s="50">
        <v>3.45345</v>
      </c>
      <c r="L286" s="71">
        <v>0</v>
      </c>
      <c r="M286" s="71">
        <v>0</v>
      </c>
      <c r="N286" s="31"/>
      <c r="O286" s="31"/>
    </row>
    <row r="287" spans="1:15" ht="77.25" customHeight="1">
      <c r="A287" s="43" t="s">
        <v>290</v>
      </c>
      <c r="B287" s="48" t="s">
        <v>76</v>
      </c>
      <c r="C287" s="48" t="s">
        <v>130</v>
      </c>
      <c r="D287" s="48" t="s">
        <v>251</v>
      </c>
      <c r="E287" s="48" t="s">
        <v>237</v>
      </c>
      <c r="F287" s="48"/>
      <c r="G287" s="51">
        <f t="shared" si="140"/>
        <v>39837.3</v>
      </c>
      <c r="H287" s="50">
        <f aca="true" t="shared" si="142" ref="H287:M287">H288+H289</f>
        <v>1556.01824</v>
      </c>
      <c r="I287" s="50">
        <f t="shared" si="142"/>
        <v>6113.46231</v>
      </c>
      <c r="J287" s="45">
        <f t="shared" si="142"/>
        <v>0</v>
      </c>
      <c r="K287" s="50">
        <f t="shared" si="142"/>
        <v>32167.819450000003</v>
      </c>
      <c r="L287" s="51">
        <f t="shared" si="142"/>
        <v>37339.3</v>
      </c>
      <c r="M287" s="51">
        <f t="shared" si="142"/>
        <v>40896.1</v>
      </c>
      <c r="N287" s="31"/>
      <c r="O287" s="31"/>
    </row>
    <row r="288" spans="1:15" ht="14.25" customHeight="1">
      <c r="A288" s="70" t="s">
        <v>247</v>
      </c>
      <c r="B288" s="48" t="s">
        <v>76</v>
      </c>
      <c r="C288" s="48" t="s">
        <v>130</v>
      </c>
      <c r="D288" s="48" t="s">
        <v>251</v>
      </c>
      <c r="E288" s="48" t="s">
        <v>245</v>
      </c>
      <c r="F288" s="48" t="s">
        <v>381</v>
      </c>
      <c r="G288" s="49">
        <f t="shared" si="140"/>
        <v>39160.423800000004</v>
      </c>
      <c r="H288" s="50">
        <v>1556.01824</v>
      </c>
      <c r="I288" s="50">
        <f>2593.3-1556.01824+4476.91+599.27055</f>
        <v>6113.46231</v>
      </c>
      <c r="J288" s="45">
        <f>2593.4-2593.4</f>
        <v>0</v>
      </c>
      <c r="K288" s="50">
        <f>2593.4-1883.51-599.27055+12607.7+2703.58904+16745.91096-676.8762</f>
        <v>31490.943250000004</v>
      </c>
      <c r="L288" s="51">
        <v>37339.3</v>
      </c>
      <c r="M288" s="51">
        <v>40896.1</v>
      </c>
      <c r="N288" s="31"/>
      <c r="O288" s="31"/>
    </row>
    <row r="289" spans="1:15" ht="14.25" customHeight="1">
      <c r="A289" s="64" t="s">
        <v>32</v>
      </c>
      <c r="B289" s="48" t="s">
        <v>76</v>
      </c>
      <c r="C289" s="48" t="s">
        <v>130</v>
      </c>
      <c r="D289" s="48" t="s">
        <v>251</v>
      </c>
      <c r="E289" s="48" t="s">
        <v>245</v>
      </c>
      <c r="F289" s="48" t="s">
        <v>53</v>
      </c>
      <c r="G289" s="50">
        <f t="shared" si="140"/>
        <v>676.8762</v>
      </c>
      <c r="H289" s="45">
        <v>0</v>
      </c>
      <c r="I289" s="45">
        <v>0</v>
      </c>
      <c r="J289" s="45">
        <v>0</v>
      </c>
      <c r="K289" s="50">
        <v>676.8762</v>
      </c>
      <c r="L289" s="45">
        <v>0</v>
      </c>
      <c r="M289" s="45">
        <v>0</v>
      </c>
      <c r="N289" s="31"/>
      <c r="O289" s="31"/>
    </row>
    <row r="290" spans="1:16" ht="39" customHeight="1">
      <c r="A290" s="62" t="s">
        <v>382</v>
      </c>
      <c r="B290" s="55" t="s">
        <v>76</v>
      </c>
      <c r="C290" s="55" t="s">
        <v>130</v>
      </c>
      <c r="D290" s="55" t="s">
        <v>383</v>
      </c>
      <c r="E290" s="55" t="s">
        <v>384</v>
      </c>
      <c r="F290" s="48"/>
      <c r="G290" s="57">
        <f>G292</f>
        <v>1353.651</v>
      </c>
      <c r="H290" s="60">
        <f aca="true" t="shared" si="143" ref="H290:M290">H292</f>
        <v>0</v>
      </c>
      <c r="I290" s="56">
        <f t="shared" si="143"/>
        <v>571.97014</v>
      </c>
      <c r="J290" s="59">
        <f t="shared" si="143"/>
        <v>321.3209</v>
      </c>
      <c r="K290" s="56">
        <f t="shared" si="143"/>
        <v>460.35996000000006</v>
      </c>
      <c r="L290" s="60">
        <f t="shared" si="143"/>
        <v>0</v>
      </c>
      <c r="M290" s="60">
        <f t="shared" si="143"/>
        <v>0</v>
      </c>
      <c r="N290" s="29"/>
      <c r="O290" s="29">
        <f>O291</f>
        <v>1325.18628</v>
      </c>
      <c r="P290" s="29">
        <f>G290-O290</f>
        <v>28.46472000000017</v>
      </c>
    </row>
    <row r="291" spans="1:16" ht="14.25" customHeight="1">
      <c r="A291" s="43" t="s">
        <v>385</v>
      </c>
      <c r="B291" s="48" t="s">
        <v>76</v>
      </c>
      <c r="C291" s="48" t="s">
        <v>130</v>
      </c>
      <c r="D291" s="48" t="s">
        <v>386</v>
      </c>
      <c r="E291" s="48" t="s">
        <v>95</v>
      </c>
      <c r="F291" s="48"/>
      <c r="G291" s="53">
        <f>G292</f>
        <v>1353.651</v>
      </c>
      <c r="H291" s="45">
        <f aca="true" t="shared" si="144" ref="H291:M291">H292</f>
        <v>0</v>
      </c>
      <c r="I291" s="50">
        <f t="shared" si="144"/>
        <v>571.97014</v>
      </c>
      <c r="J291" s="49">
        <f t="shared" si="144"/>
        <v>321.3209</v>
      </c>
      <c r="K291" s="50">
        <f t="shared" si="144"/>
        <v>460.35996000000006</v>
      </c>
      <c r="L291" s="45">
        <f t="shared" si="144"/>
        <v>0</v>
      </c>
      <c r="M291" s="45">
        <f t="shared" si="144"/>
        <v>0</v>
      </c>
      <c r="N291" s="29"/>
      <c r="O291" s="29">
        <f>O292</f>
        <v>1325.18628</v>
      </c>
      <c r="P291" s="18">
        <f>G291-O291</f>
        <v>28.46472000000017</v>
      </c>
    </row>
    <row r="292" spans="1:16" ht="24.75" customHeight="1">
      <c r="A292" s="41" t="s">
        <v>308</v>
      </c>
      <c r="B292" s="48" t="s">
        <v>76</v>
      </c>
      <c r="C292" s="48" t="s">
        <v>130</v>
      </c>
      <c r="D292" s="48" t="s">
        <v>386</v>
      </c>
      <c r="E292" s="48" t="s">
        <v>95</v>
      </c>
      <c r="F292" s="48" t="s">
        <v>48</v>
      </c>
      <c r="G292" s="53">
        <f>H292+I292+J292+K292</f>
        <v>1353.651</v>
      </c>
      <c r="H292" s="45">
        <v>0</v>
      </c>
      <c r="I292" s="50">
        <f>702.36-130.38986</f>
        <v>571.97014</v>
      </c>
      <c r="J292" s="49">
        <f>365+130.38986-174.06896</f>
        <v>321.3209</v>
      </c>
      <c r="K292" s="50">
        <f>365+174.06896-78.709</f>
        <v>460.35996000000006</v>
      </c>
      <c r="L292" s="45">
        <v>0</v>
      </c>
      <c r="M292" s="45">
        <v>0</v>
      </c>
      <c r="N292" s="29"/>
      <c r="O292" s="18">
        <v>1325.18628</v>
      </c>
      <c r="P292" s="18">
        <f>G292-O292</f>
        <v>28.46472000000017</v>
      </c>
    </row>
    <row r="293" spans="1:15" ht="15" customHeight="1">
      <c r="A293" s="85" t="s">
        <v>60</v>
      </c>
      <c r="B293" s="55" t="s">
        <v>76</v>
      </c>
      <c r="C293" s="55" t="s">
        <v>61</v>
      </c>
      <c r="D293" s="55" t="s">
        <v>151</v>
      </c>
      <c r="E293" s="55" t="s">
        <v>59</v>
      </c>
      <c r="F293" s="55"/>
      <c r="G293" s="56">
        <f>SUM(H293:K293)</f>
        <v>48653.89702999999</v>
      </c>
      <c r="H293" s="58">
        <f aca="true" t="shared" si="145" ref="H293:M293">H294+H296+H298+H300+H303+H312</f>
        <v>4.5</v>
      </c>
      <c r="I293" s="58">
        <f t="shared" si="145"/>
        <v>360.70300000000003</v>
      </c>
      <c r="J293" s="58">
        <f t="shared" si="145"/>
        <v>1097.266</v>
      </c>
      <c r="K293" s="58">
        <f t="shared" si="145"/>
        <v>47191.428029999995</v>
      </c>
      <c r="L293" s="60">
        <f t="shared" si="145"/>
        <v>0</v>
      </c>
      <c r="M293" s="58">
        <f t="shared" si="145"/>
        <v>908.1</v>
      </c>
      <c r="N293" s="31"/>
      <c r="O293" s="31"/>
    </row>
    <row r="294" spans="1:15" ht="72" customHeight="1">
      <c r="A294" s="43" t="s">
        <v>288</v>
      </c>
      <c r="B294" s="75" t="s">
        <v>76</v>
      </c>
      <c r="C294" s="55" t="s">
        <v>61</v>
      </c>
      <c r="D294" s="55" t="s">
        <v>211</v>
      </c>
      <c r="E294" s="55" t="s">
        <v>237</v>
      </c>
      <c r="F294" s="55"/>
      <c r="G294" s="59">
        <f aca="true" t="shared" si="146" ref="G294:M294">G295</f>
        <v>922.1184999999999</v>
      </c>
      <c r="H294" s="60">
        <f t="shared" si="146"/>
        <v>0</v>
      </c>
      <c r="I294" s="60">
        <f t="shared" si="146"/>
        <v>0</v>
      </c>
      <c r="J294" s="60">
        <f t="shared" si="146"/>
        <v>0</v>
      </c>
      <c r="K294" s="59">
        <f t="shared" si="146"/>
        <v>922.1184999999999</v>
      </c>
      <c r="L294" s="60">
        <f t="shared" si="146"/>
        <v>0</v>
      </c>
      <c r="M294" s="60">
        <f t="shared" si="146"/>
        <v>0</v>
      </c>
      <c r="N294" s="31"/>
      <c r="O294" s="31"/>
    </row>
    <row r="295" spans="1:15" ht="15" customHeight="1">
      <c r="A295" s="79" t="s">
        <v>305</v>
      </c>
      <c r="B295" s="48" t="s">
        <v>76</v>
      </c>
      <c r="C295" s="48" t="s">
        <v>61</v>
      </c>
      <c r="D295" s="48" t="s">
        <v>211</v>
      </c>
      <c r="E295" s="48" t="s">
        <v>294</v>
      </c>
      <c r="F295" s="48" t="s">
        <v>49</v>
      </c>
      <c r="G295" s="49">
        <f>H295+I295+J295+K295</f>
        <v>922.1184999999999</v>
      </c>
      <c r="H295" s="45">
        <v>0</v>
      </c>
      <c r="I295" s="45">
        <f>343.4-77.155-22.845-243.4</f>
        <v>0</v>
      </c>
      <c r="J295" s="45">
        <f>343.4+243.4-586.8</f>
        <v>0</v>
      </c>
      <c r="K295" s="49">
        <f>343.5+586.8-8.1815</f>
        <v>922.1184999999999</v>
      </c>
      <c r="L295" s="45">
        <v>0</v>
      </c>
      <c r="M295" s="45">
        <v>0</v>
      </c>
      <c r="N295" s="31"/>
      <c r="O295" s="31"/>
    </row>
    <row r="296" spans="1:15" ht="32.25" customHeight="1">
      <c r="A296" s="43" t="s">
        <v>389</v>
      </c>
      <c r="B296" s="48" t="s">
        <v>76</v>
      </c>
      <c r="C296" s="48" t="s">
        <v>61</v>
      </c>
      <c r="D296" s="48" t="s">
        <v>390</v>
      </c>
      <c r="E296" s="48" t="s">
        <v>96</v>
      </c>
      <c r="F296" s="48"/>
      <c r="G296" s="57">
        <f aca="true" t="shared" si="147" ref="G296:M298">G297</f>
        <v>287.583</v>
      </c>
      <c r="H296" s="60">
        <f t="shared" si="147"/>
        <v>0</v>
      </c>
      <c r="I296" s="56">
        <f t="shared" si="147"/>
        <v>287.583</v>
      </c>
      <c r="J296" s="60">
        <f t="shared" si="147"/>
        <v>0</v>
      </c>
      <c r="K296" s="60">
        <f t="shared" si="147"/>
        <v>0</v>
      </c>
      <c r="L296" s="60">
        <f t="shared" si="147"/>
        <v>0</v>
      </c>
      <c r="M296" s="60">
        <f t="shared" si="147"/>
        <v>0</v>
      </c>
      <c r="N296" s="31"/>
      <c r="O296" s="31"/>
    </row>
    <row r="297" spans="1:15" ht="15" customHeight="1">
      <c r="A297" s="79" t="s">
        <v>305</v>
      </c>
      <c r="B297" s="48" t="s">
        <v>76</v>
      </c>
      <c r="C297" s="48" t="s">
        <v>61</v>
      </c>
      <c r="D297" s="48" t="s">
        <v>390</v>
      </c>
      <c r="E297" s="48" t="s">
        <v>95</v>
      </c>
      <c r="F297" s="48" t="s">
        <v>49</v>
      </c>
      <c r="G297" s="53">
        <f>H297+I297+J297+K297</f>
        <v>287.583</v>
      </c>
      <c r="H297" s="45">
        <f>287.6-287.6</f>
        <v>0</v>
      </c>
      <c r="I297" s="50">
        <f>287.6-0.017</f>
        <v>287.583</v>
      </c>
      <c r="J297" s="45">
        <f>0.017-0.017</f>
        <v>0</v>
      </c>
      <c r="K297" s="45">
        <f>0.017-0.017</f>
        <v>0</v>
      </c>
      <c r="L297" s="45">
        <v>0</v>
      </c>
      <c r="M297" s="45">
        <v>0</v>
      </c>
      <c r="N297" s="31"/>
      <c r="O297" s="31"/>
    </row>
    <row r="298" spans="1:15" ht="68.25" customHeight="1">
      <c r="A298" s="65" t="s">
        <v>288</v>
      </c>
      <c r="B298" s="48" t="s">
        <v>76</v>
      </c>
      <c r="C298" s="48" t="s">
        <v>61</v>
      </c>
      <c r="D298" s="48" t="s">
        <v>278</v>
      </c>
      <c r="E298" s="48" t="s">
        <v>237</v>
      </c>
      <c r="F298" s="48"/>
      <c r="G298" s="60">
        <f t="shared" si="147"/>
        <v>0</v>
      </c>
      <c r="H298" s="60">
        <f t="shared" si="147"/>
        <v>0</v>
      </c>
      <c r="I298" s="60">
        <f t="shared" si="147"/>
        <v>0</v>
      </c>
      <c r="J298" s="60">
        <f t="shared" si="147"/>
        <v>0</v>
      </c>
      <c r="K298" s="60">
        <f t="shared" si="147"/>
        <v>0</v>
      </c>
      <c r="L298" s="60">
        <f t="shared" si="147"/>
        <v>0</v>
      </c>
      <c r="M298" s="58">
        <f t="shared" si="147"/>
        <v>908.1</v>
      </c>
      <c r="N298" s="31"/>
      <c r="O298" s="31"/>
    </row>
    <row r="299" spans="1:15" ht="15" customHeight="1">
      <c r="A299" s="79" t="s">
        <v>265</v>
      </c>
      <c r="B299" s="48" t="s">
        <v>76</v>
      </c>
      <c r="C299" s="48" t="s">
        <v>61</v>
      </c>
      <c r="D299" s="48" t="s">
        <v>278</v>
      </c>
      <c r="E299" s="48" t="s">
        <v>294</v>
      </c>
      <c r="F299" s="48" t="s">
        <v>53</v>
      </c>
      <c r="G299" s="45">
        <f>H299+I299+J299+K299</f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51">
        <v>908.1</v>
      </c>
      <c r="N299" s="31"/>
      <c r="O299" s="31"/>
    </row>
    <row r="300" spans="1:15" ht="45.75" customHeight="1">
      <c r="A300" s="62" t="s">
        <v>277</v>
      </c>
      <c r="B300" s="55" t="s">
        <v>76</v>
      </c>
      <c r="C300" s="55" t="s">
        <v>61</v>
      </c>
      <c r="D300" s="55" t="s">
        <v>321</v>
      </c>
      <c r="E300" s="55" t="s">
        <v>59</v>
      </c>
      <c r="F300" s="55"/>
      <c r="G300" s="58">
        <f>H300+I300+J300+K300</f>
        <v>0</v>
      </c>
      <c r="H300" s="58">
        <f aca="true" t="shared" si="148" ref="H300:M300">H301</f>
        <v>4.5</v>
      </c>
      <c r="I300" s="58">
        <f t="shared" si="148"/>
        <v>-4.5</v>
      </c>
      <c r="J300" s="58">
        <f t="shared" si="148"/>
        <v>0</v>
      </c>
      <c r="K300" s="60">
        <f t="shared" si="148"/>
        <v>0</v>
      </c>
      <c r="L300" s="60">
        <f t="shared" si="148"/>
        <v>0</v>
      </c>
      <c r="M300" s="60">
        <f t="shared" si="148"/>
        <v>0</v>
      </c>
      <c r="N300" s="31"/>
      <c r="O300" s="31"/>
    </row>
    <row r="301" spans="1:15" ht="42" customHeight="1">
      <c r="A301" s="65" t="s">
        <v>391</v>
      </c>
      <c r="B301" s="48" t="s">
        <v>76</v>
      </c>
      <c r="C301" s="48" t="s">
        <v>61</v>
      </c>
      <c r="D301" s="48" t="s">
        <v>225</v>
      </c>
      <c r="E301" s="48" t="s">
        <v>96</v>
      </c>
      <c r="F301" s="48"/>
      <c r="G301" s="45">
        <f>G302</f>
        <v>0</v>
      </c>
      <c r="H301" s="51">
        <f aca="true" t="shared" si="149" ref="H301:M301">H302</f>
        <v>4.5</v>
      </c>
      <c r="I301" s="51">
        <f t="shared" si="149"/>
        <v>-4.5</v>
      </c>
      <c r="J301" s="45">
        <f t="shared" si="149"/>
        <v>0</v>
      </c>
      <c r="K301" s="45">
        <f t="shared" si="149"/>
        <v>0</v>
      </c>
      <c r="L301" s="45">
        <f t="shared" si="149"/>
        <v>0</v>
      </c>
      <c r="M301" s="45">
        <f t="shared" si="149"/>
        <v>0</v>
      </c>
      <c r="N301" s="31"/>
      <c r="O301" s="31"/>
    </row>
    <row r="302" spans="1:15" ht="28.5" customHeight="1">
      <c r="A302" s="79" t="s">
        <v>305</v>
      </c>
      <c r="B302" s="48" t="s">
        <v>76</v>
      </c>
      <c r="C302" s="48" t="s">
        <v>61</v>
      </c>
      <c r="D302" s="48" t="s">
        <v>225</v>
      </c>
      <c r="E302" s="48" t="s">
        <v>95</v>
      </c>
      <c r="F302" s="48" t="s">
        <v>49</v>
      </c>
      <c r="G302" s="45">
        <f aca="true" t="shared" si="150" ref="G302:G331">H302+I302+J302+K302</f>
        <v>0</v>
      </c>
      <c r="H302" s="51">
        <f>300+4.5-300</f>
        <v>4.5</v>
      </c>
      <c r="I302" s="51">
        <v>-4.5</v>
      </c>
      <c r="J302" s="45">
        <v>0</v>
      </c>
      <c r="K302" s="45">
        <v>0</v>
      </c>
      <c r="L302" s="45">
        <v>0</v>
      </c>
      <c r="M302" s="45">
        <v>0</v>
      </c>
      <c r="N302" s="31"/>
      <c r="O302" s="31"/>
    </row>
    <row r="303" spans="1:15" ht="28.5" customHeight="1">
      <c r="A303" s="62" t="s">
        <v>392</v>
      </c>
      <c r="B303" s="55" t="s">
        <v>76</v>
      </c>
      <c r="C303" s="55" t="s">
        <v>61</v>
      </c>
      <c r="D303" s="55" t="s">
        <v>393</v>
      </c>
      <c r="E303" s="55" t="s">
        <v>59</v>
      </c>
      <c r="F303" s="48"/>
      <c r="G303" s="56">
        <f t="shared" si="150"/>
        <v>45749.28953</v>
      </c>
      <c r="H303" s="60">
        <f aca="true" t="shared" si="151" ref="H303:M303">H304+H306+H308+H310</f>
        <v>0</v>
      </c>
      <c r="I303" s="60">
        <f t="shared" si="151"/>
        <v>45</v>
      </c>
      <c r="J303" s="60">
        <f t="shared" si="151"/>
        <v>99.98</v>
      </c>
      <c r="K303" s="60">
        <f t="shared" si="151"/>
        <v>45604.30953</v>
      </c>
      <c r="L303" s="60">
        <f t="shared" si="151"/>
        <v>0</v>
      </c>
      <c r="M303" s="60">
        <f t="shared" si="151"/>
        <v>0</v>
      </c>
      <c r="N303" s="31"/>
      <c r="O303" s="31"/>
    </row>
    <row r="304" spans="1:15" ht="28.5" customHeight="1">
      <c r="A304" s="76" t="s">
        <v>394</v>
      </c>
      <c r="B304" s="48" t="s">
        <v>76</v>
      </c>
      <c r="C304" s="48" t="s">
        <v>61</v>
      </c>
      <c r="D304" s="48" t="s">
        <v>395</v>
      </c>
      <c r="E304" s="48" t="s">
        <v>95</v>
      </c>
      <c r="F304" s="48"/>
      <c r="G304" s="51">
        <f t="shared" si="150"/>
        <v>45</v>
      </c>
      <c r="H304" s="45">
        <f aca="true" t="shared" si="152" ref="H304:M304">H305</f>
        <v>0</v>
      </c>
      <c r="I304" s="51">
        <f t="shared" si="152"/>
        <v>45</v>
      </c>
      <c r="J304" s="45">
        <f t="shared" si="152"/>
        <v>0</v>
      </c>
      <c r="K304" s="45">
        <f t="shared" si="152"/>
        <v>0</v>
      </c>
      <c r="L304" s="45">
        <f t="shared" si="152"/>
        <v>0</v>
      </c>
      <c r="M304" s="45">
        <f t="shared" si="152"/>
        <v>0</v>
      </c>
      <c r="N304" s="31"/>
      <c r="O304" s="31"/>
    </row>
    <row r="305" spans="1:15" ht="28.5" customHeight="1">
      <c r="A305" s="79" t="s">
        <v>305</v>
      </c>
      <c r="B305" s="48" t="s">
        <v>76</v>
      </c>
      <c r="C305" s="48" t="s">
        <v>61</v>
      </c>
      <c r="D305" s="48" t="s">
        <v>395</v>
      </c>
      <c r="E305" s="48" t="s">
        <v>95</v>
      </c>
      <c r="F305" s="48" t="s">
        <v>49</v>
      </c>
      <c r="G305" s="51">
        <f t="shared" si="150"/>
        <v>45</v>
      </c>
      <c r="H305" s="45">
        <v>0</v>
      </c>
      <c r="I305" s="51">
        <v>45</v>
      </c>
      <c r="J305" s="45">
        <v>0</v>
      </c>
      <c r="K305" s="45">
        <v>0</v>
      </c>
      <c r="L305" s="45">
        <v>0</v>
      </c>
      <c r="M305" s="45">
        <v>0</v>
      </c>
      <c r="N305" s="31"/>
      <c r="O305" s="31"/>
    </row>
    <row r="306" spans="1:15" ht="28.5" customHeight="1">
      <c r="A306" s="43" t="s">
        <v>396</v>
      </c>
      <c r="B306" s="48" t="s">
        <v>76</v>
      </c>
      <c r="C306" s="48" t="s">
        <v>61</v>
      </c>
      <c r="D306" s="48" t="s">
        <v>397</v>
      </c>
      <c r="E306" s="48" t="s">
        <v>95</v>
      </c>
      <c r="F306" s="48"/>
      <c r="G306" s="51">
        <f t="shared" si="150"/>
        <v>99.98</v>
      </c>
      <c r="H306" s="45">
        <f aca="true" t="shared" si="153" ref="H306:M306">H307</f>
        <v>0</v>
      </c>
      <c r="I306" s="45">
        <f t="shared" si="153"/>
        <v>0</v>
      </c>
      <c r="J306" s="51">
        <f t="shared" si="153"/>
        <v>99.98</v>
      </c>
      <c r="K306" s="45">
        <f t="shared" si="153"/>
        <v>0</v>
      </c>
      <c r="L306" s="45">
        <f t="shared" si="153"/>
        <v>0</v>
      </c>
      <c r="M306" s="45">
        <f t="shared" si="153"/>
        <v>0</v>
      </c>
      <c r="N306" s="31"/>
      <c r="O306" s="31"/>
    </row>
    <row r="307" spans="1:15" ht="28.5" customHeight="1">
      <c r="A307" s="41" t="s">
        <v>305</v>
      </c>
      <c r="B307" s="48" t="s">
        <v>76</v>
      </c>
      <c r="C307" s="48" t="s">
        <v>61</v>
      </c>
      <c r="D307" s="48" t="s">
        <v>397</v>
      </c>
      <c r="E307" s="48" t="s">
        <v>95</v>
      </c>
      <c r="F307" s="48" t="s">
        <v>49</v>
      </c>
      <c r="G307" s="51">
        <f t="shared" si="150"/>
        <v>99.98</v>
      </c>
      <c r="H307" s="45">
        <v>0</v>
      </c>
      <c r="I307" s="45">
        <v>0</v>
      </c>
      <c r="J307" s="51">
        <f>100-0.02</f>
        <v>99.98</v>
      </c>
      <c r="K307" s="45">
        <f>0.02-0.02</f>
        <v>0</v>
      </c>
      <c r="L307" s="45">
        <v>0</v>
      </c>
      <c r="M307" s="45">
        <v>0</v>
      </c>
      <c r="N307" s="31"/>
      <c r="O307" s="31"/>
    </row>
    <row r="308" spans="1:15" ht="102" customHeight="1">
      <c r="A308" s="76" t="s">
        <v>398</v>
      </c>
      <c r="B308" s="48" t="s">
        <v>76</v>
      </c>
      <c r="C308" s="48" t="s">
        <v>61</v>
      </c>
      <c r="D308" s="48" t="s">
        <v>399</v>
      </c>
      <c r="E308" s="48" t="s">
        <v>128</v>
      </c>
      <c r="F308" s="48"/>
      <c r="G308" s="50">
        <f t="shared" si="150"/>
        <v>456.10953000000006</v>
      </c>
      <c r="H308" s="45">
        <f>H309</f>
        <v>0</v>
      </c>
      <c r="I308" s="45">
        <f>I309</f>
        <v>0</v>
      </c>
      <c r="J308" s="45">
        <f>J309</f>
        <v>0</v>
      </c>
      <c r="K308" s="50">
        <f>K309</f>
        <v>456.10953000000006</v>
      </c>
      <c r="L308" s="45">
        <v>0</v>
      </c>
      <c r="M308" s="45">
        <v>0</v>
      </c>
      <c r="N308" s="31"/>
      <c r="O308" s="31"/>
    </row>
    <row r="309" spans="1:15" ht="28.5" customHeight="1">
      <c r="A309" s="43" t="s">
        <v>257</v>
      </c>
      <c r="B309" s="48" t="s">
        <v>76</v>
      </c>
      <c r="C309" s="48" t="s">
        <v>61</v>
      </c>
      <c r="D309" s="48" t="s">
        <v>399</v>
      </c>
      <c r="E309" s="48" t="s">
        <v>400</v>
      </c>
      <c r="F309" s="48" t="s">
        <v>50</v>
      </c>
      <c r="G309" s="50">
        <f t="shared" si="150"/>
        <v>456.10953000000006</v>
      </c>
      <c r="H309" s="45">
        <v>0</v>
      </c>
      <c r="I309" s="45">
        <v>0</v>
      </c>
      <c r="J309" s="45">
        <v>0</v>
      </c>
      <c r="K309" s="50">
        <f>515.57-59.46047</f>
        <v>456.10953000000006</v>
      </c>
      <c r="L309" s="45">
        <v>0</v>
      </c>
      <c r="M309" s="45">
        <v>0</v>
      </c>
      <c r="N309" s="31"/>
      <c r="O309" s="31"/>
    </row>
    <row r="310" spans="1:15" ht="64.5" customHeight="1">
      <c r="A310" s="76" t="s">
        <v>398</v>
      </c>
      <c r="B310" s="48" t="s">
        <v>76</v>
      </c>
      <c r="C310" s="48" t="s">
        <v>61</v>
      </c>
      <c r="D310" s="48" t="s">
        <v>401</v>
      </c>
      <c r="E310" s="48" t="s">
        <v>128</v>
      </c>
      <c r="F310" s="48"/>
      <c r="G310" s="51">
        <f t="shared" si="150"/>
        <v>45148.2</v>
      </c>
      <c r="H310" s="45">
        <f>H311</f>
        <v>0</v>
      </c>
      <c r="I310" s="45">
        <f>I311</f>
        <v>0</v>
      </c>
      <c r="J310" s="45">
        <f>J311</f>
        <v>0</v>
      </c>
      <c r="K310" s="51">
        <f>K311</f>
        <v>45148.2</v>
      </c>
      <c r="L310" s="45">
        <v>0</v>
      </c>
      <c r="M310" s="45">
        <v>0</v>
      </c>
      <c r="N310" s="31"/>
      <c r="O310" s="31"/>
    </row>
    <row r="311" spans="1:15" ht="28.5" customHeight="1">
      <c r="A311" s="43" t="s">
        <v>257</v>
      </c>
      <c r="B311" s="48" t="s">
        <v>76</v>
      </c>
      <c r="C311" s="48" t="s">
        <v>61</v>
      </c>
      <c r="D311" s="48" t="s">
        <v>401</v>
      </c>
      <c r="E311" s="48" t="s">
        <v>400</v>
      </c>
      <c r="F311" s="48" t="s">
        <v>50</v>
      </c>
      <c r="G311" s="51">
        <f t="shared" si="150"/>
        <v>45148.2</v>
      </c>
      <c r="H311" s="45">
        <v>0</v>
      </c>
      <c r="I311" s="45">
        <v>0</v>
      </c>
      <c r="J311" s="45">
        <v>0</v>
      </c>
      <c r="K311" s="51">
        <v>45148.2</v>
      </c>
      <c r="L311" s="45">
        <v>0</v>
      </c>
      <c r="M311" s="45">
        <v>0</v>
      </c>
      <c r="N311" s="31"/>
      <c r="O311" s="31"/>
    </row>
    <row r="312" spans="1:15" ht="39.75" customHeight="1">
      <c r="A312" s="86" t="s">
        <v>402</v>
      </c>
      <c r="B312" s="78" t="s">
        <v>76</v>
      </c>
      <c r="C312" s="55" t="s">
        <v>61</v>
      </c>
      <c r="D312" s="55" t="s">
        <v>403</v>
      </c>
      <c r="E312" s="55" t="s">
        <v>59</v>
      </c>
      <c r="F312" s="55"/>
      <c r="G312" s="57">
        <f t="shared" si="150"/>
        <v>1694.906</v>
      </c>
      <c r="H312" s="60">
        <f aca="true" t="shared" si="154" ref="H312:M312">H313+H315+H317+H319</f>
        <v>0</v>
      </c>
      <c r="I312" s="58">
        <f t="shared" si="154"/>
        <v>32.62</v>
      </c>
      <c r="J312" s="60">
        <f t="shared" si="154"/>
        <v>997.2860000000001</v>
      </c>
      <c r="K312" s="60">
        <f t="shared" si="154"/>
        <v>665</v>
      </c>
      <c r="L312" s="60">
        <f t="shared" si="154"/>
        <v>0</v>
      </c>
      <c r="M312" s="60">
        <f t="shared" si="154"/>
        <v>0</v>
      </c>
      <c r="N312" s="31"/>
      <c r="O312" s="31"/>
    </row>
    <row r="313" spans="1:15" ht="44.25" customHeight="1">
      <c r="A313" s="65" t="s">
        <v>404</v>
      </c>
      <c r="B313" s="48" t="s">
        <v>76</v>
      </c>
      <c r="C313" s="48" t="s">
        <v>61</v>
      </c>
      <c r="D313" s="48" t="s">
        <v>405</v>
      </c>
      <c r="E313" s="48" t="s">
        <v>125</v>
      </c>
      <c r="F313" s="48"/>
      <c r="G313" s="51">
        <f t="shared" si="150"/>
        <v>32.62</v>
      </c>
      <c r="H313" s="45">
        <f aca="true" t="shared" si="155" ref="H313:M313">H314</f>
        <v>0</v>
      </c>
      <c r="I313" s="51">
        <f t="shared" si="155"/>
        <v>32.62</v>
      </c>
      <c r="J313" s="45">
        <f t="shared" si="155"/>
        <v>0</v>
      </c>
      <c r="K313" s="45">
        <f t="shared" si="155"/>
        <v>0</v>
      </c>
      <c r="L313" s="45">
        <f t="shared" si="155"/>
        <v>0</v>
      </c>
      <c r="M313" s="45">
        <f t="shared" si="155"/>
        <v>0</v>
      </c>
      <c r="N313" s="31"/>
      <c r="O313" s="31"/>
    </row>
    <row r="314" spans="1:15" ht="28.5" customHeight="1">
      <c r="A314" s="79" t="s">
        <v>305</v>
      </c>
      <c r="B314" s="48" t="s">
        <v>76</v>
      </c>
      <c r="C314" s="48" t="s">
        <v>61</v>
      </c>
      <c r="D314" s="48" t="s">
        <v>405</v>
      </c>
      <c r="E314" s="48" t="s">
        <v>95</v>
      </c>
      <c r="F314" s="48" t="s">
        <v>49</v>
      </c>
      <c r="G314" s="51">
        <f t="shared" si="150"/>
        <v>32.62</v>
      </c>
      <c r="H314" s="45">
        <f>47.82603-47.82603</f>
        <v>0</v>
      </c>
      <c r="I314" s="51">
        <v>32.62</v>
      </c>
      <c r="J314" s="45">
        <v>0</v>
      </c>
      <c r="K314" s="45">
        <v>0</v>
      </c>
      <c r="L314" s="45">
        <v>0</v>
      </c>
      <c r="M314" s="45">
        <v>0</v>
      </c>
      <c r="N314" s="31"/>
      <c r="O314" s="31"/>
    </row>
    <row r="315" spans="1:15" ht="47.25" customHeight="1">
      <c r="A315" s="65" t="s">
        <v>404</v>
      </c>
      <c r="B315" s="48" t="s">
        <v>76</v>
      </c>
      <c r="C315" s="48" t="s">
        <v>61</v>
      </c>
      <c r="D315" s="48" t="s">
        <v>405</v>
      </c>
      <c r="E315" s="48" t="s">
        <v>237</v>
      </c>
      <c r="F315" s="48"/>
      <c r="G315" s="51">
        <f t="shared" si="150"/>
        <v>500</v>
      </c>
      <c r="H315" s="45">
        <f aca="true" t="shared" si="156" ref="H315:M315">H316</f>
        <v>0</v>
      </c>
      <c r="I315" s="45">
        <f t="shared" si="156"/>
        <v>0</v>
      </c>
      <c r="J315" s="45">
        <f t="shared" si="156"/>
        <v>500</v>
      </c>
      <c r="K315" s="45">
        <f t="shared" si="156"/>
        <v>0</v>
      </c>
      <c r="L315" s="45">
        <f t="shared" si="156"/>
        <v>0</v>
      </c>
      <c r="M315" s="45">
        <f t="shared" si="156"/>
        <v>0</v>
      </c>
      <c r="N315" s="31"/>
      <c r="O315" s="31"/>
    </row>
    <row r="316" spans="1:15" ht="28.5" customHeight="1">
      <c r="A316" s="79" t="s">
        <v>305</v>
      </c>
      <c r="B316" s="48" t="s">
        <v>76</v>
      </c>
      <c r="C316" s="48" t="s">
        <v>61</v>
      </c>
      <c r="D316" s="48" t="s">
        <v>405</v>
      </c>
      <c r="E316" s="48" t="s">
        <v>294</v>
      </c>
      <c r="F316" s="48" t="s">
        <v>49</v>
      </c>
      <c r="G316" s="51">
        <f t="shared" si="150"/>
        <v>500</v>
      </c>
      <c r="H316" s="45">
        <f>47.82603-47.82603</f>
        <v>0</v>
      </c>
      <c r="I316" s="45">
        <f>500-500</f>
        <v>0</v>
      </c>
      <c r="J316" s="51">
        <f>500</f>
        <v>500</v>
      </c>
      <c r="K316" s="45">
        <v>0</v>
      </c>
      <c r="L316" s="45">
        <v>0</v>
      </c>
      <c r="M316" s="45">
        <v>0</v>
      </c>
      <c r="N316" s="31"/>
      <c r="O316" s="31"/>
    </row>
    <row r="317" spans="1:15" ht="28.5" customHeight="1">
      <c r="A317" s="65" t="s">
        <v>406</v>
      </c>
      <c r="B317" s="48" t="s">
        <v>76</v>
      </c>
      <c r="C317" s="48" t="s">
        <v>61</v>
      </c>
      <c r="D317" s="48" t="s">
        <v>407</v>
      </c>
      <c r="E317" s="48" t="s">
        <v>237</v>
      </c>
      <c r="F317" s="48"/>
      <c r="G317" s="51">
        <f t="shared" si="150"/>
        <v>665</v>
      </c>
      <c r="H317" s="45">
        <f aca="true" t="shared" si="157" ref="H317:M317">H318</f>
        <v>0</v>
      </c>
      <c r="I317" s="45">
        <f t="shared" si="157"/>
        <v>0</v>
      </c>
      <c r="J317" s="45">
        <f t="shared" si="157"/>
        <v>0</v>
      </c>
      <c r="K317" s="51">
        <f t="shared" si="157"/>
        <v>665</v>
      </c>
      <c r="L317" s="45">
        <f t="shared" si="157"/>
        <v>0</v>
      </c>
      <c r="M317" s="45">
        <f t="shared" si="157"/>
        <v>0</v>
      </c>
      <c r="N317" s="31"/>
      <c r="O317" s="31"/>
    </row>
    <row r="318" spans="1:15" ht="28.5" customHeight="1">
      <c r="A318" s="79" t="s">
        <v>305</v>
      </c>
      <c r="B318" s="48" t="s">
        <v>76</v>
      </c>
      <c r="C318" s="48" t="s">
        <v>61</v>
      </c>
      <c r="D318" s="48" t="s">
        <v>407</v>
      </c>
      <c r="E318" s="48" t="s">
        <v>294</v>
      </c>
      <c r="F318" s="48" t="s">
        <v>49</v>
      </c>
      <c r="G318" s="51">
        <f t="shared" si="150"/>
        <v>665</v>
      </c>
      <c r="H318" s="45">
        <f>47.82603-47.82603</f>
        <v>0</v>
      </c>
      <c r="I318" s="45">
        <f>2100-2100</f>
        <v>0</v>
      </c>
      <c r="J318" s="45">
        <f>2100-1435-665</f>
        <v>0</v>
      </c>
      <c r="K318" s="51">
        <v>665</v>
      </c>
      <c r="L318" s="45">
        <v>0</v>
      </c>
      <c r="M318" s="45">
        <v>0</v>
      </c>
      <c r="N318" s="31"/>
      <c r="O318" s="31"/>
    </row>
    <row r="319" spans="1:15" ht="44.25" customHeight="1">
      <c r="A319" s="65" t="s">
        <v>408</v>
      </c>
      <c r="B319" s="48" t="s">
        <v>76</v>
      </c>
      <c r="C319" s="48" t="s">
        <v>61</v>
      </c>
      <c r="D319" s="48" t="s">
        <v>409</v>
      </c>
      <c r="E319" s="48" t="s">
        <v>125</v>
      </c>
      <c r="F319" s="48"/>
      <c r="G319" s="53">
        <f t="shared" si="150"/>
        <v>497.286</v>
      </c>
      <c r="H319" s="45">
        <f aca="true" t="shared" si="158" ref="H319:M319">H320</f>
        <v>0</v>
      </c>
      <c r="I319" s="45">
        <f t="shared" si="158"/>
        <v>0</v>
      </c>
      <c r="J319" s="53">
        <f t="shared" si="158"/>
        <v>497.286</v>
      </c>
      <c r="K319" s="45">
        <f t="shared" si="158"/>
        <v>0</v>
      </c>
      <c r="L319" s="45">
        <f t="shared" si="158"/>
        <v>0</v>
      </c>
      <c r="M319" s="45">
        <f t="shared" si="158"/>
        <v>0</v>
      </c>
      <c r="N319" s="31"/>
      <c r="O319" s="31"/>
    </row>
    <row r="320" spans="1:15" ht="28.5" customHeight="1">
      <c r="A320" s="41" t="s">
        <v>308</v>
      </c>
      <c r="B320" s="48" t="s">
        <v>76</v>
      </c>
      <c r="C320" s="48" t="s">
        <v>61</v>
      </c>
      <c r="D320" s="48" t="s">
        <v>409</v>
      </c>
      <c r="E320" s="48" t="s">
        <v>95</v>
      </c>
      <c r="F320" s="48" t="s">
        <v>48</v>
      </c>
      <c r="G320" s="53">
        <f t="shared" si="150"/>
        <v>497.286</v>
      </c>
      <c r="H320" s="45">
        <f>47.82603-47.82603</f>
        <v>0</v>
      </c>
      <c r="I320" s="45">
        <f>497.286-497.286</f>
        <v>0</v>
      </c>
      <c r="J320" s="53">
        <v>497.286</v>
      </c>
      <c r="K320" s="45">
        <v>0</v>
      </c>
      <c r="L320" s="45">
        <v>0</v>
      </c>
      <c r="M320" s="45">
        <v>0</v>
      </c>
      <c r="N320" s="31"/>
      <c r="O320" s="31"/>
    </row>
    <row r="321" spans="1:15" ht="17.25" customHeight="1">
      <c r="A321" s="62" t="s">
        <v>153</v>
      </c>
      <c r="B321" s="55" t="s">
        <v>76</v>
      </c>
      <c r="C321" s="55" t="s">
        <v>62</v>
      </c>
      <c r="D321" s="55" t="s">
        <v>151</v>
      </c>
      <c r="E321" s="55" t="s">
        <v>59</v>
      </c>
      <c r="F321" s="55"/>
      <c r="G321" s="56">
        <f t="shared" si="150"/>
        <v>24798.84182</v>
      </c>
      <c r="H321" s="56">
        <f aca="true" t="shared" si="159" ref="H321:M321">H322+H324+H326+H328+H331+H347+H370</f>
        <v>3414.87418</v>
      </c>
      <c r="I321" s="56">
        <f t="shared" si="159"/>
        <v>1722.59829</v>
      </c>
      <c r="J321" s="56">
        <f t="shared" si="159"/>
        <v>8668.05639</v>
      </c>
      <c r="K321" s="56">
        <f t="shared" si="159"/>
        <v>10993.312960000001</v>
      </c>
      <c r="L321" s="56">
        <f t="shared" si="159"/>
        <v>15159.27036</v>
      </c>
      <c r="M321" s="58">
        <f t="shared" si="159"/>
        <v>16291.7</v>
      </c>
      <c r="N321" s="31"/>
      <c r="O321" s="31"/>
    </row>
    <row r="322" spans="1:15" ht="28.5" customHeight="1">
      <c r="A322" s="43" t="s">
        <v>410</v>
      </c>
      <c r="B322" s="75" t="s">
        <v>76</v>
      </c>
      <c r="C322" s="48" t="s">
        <v>62</v>
      </c>
      <c r="D322" s="48" t="s">
        <v>411</v>
      </c>
      <c r="E322" s="48" t="s">
        <v>125</v>
      </c>
      <c r="F322" s="48"/>
      <c r="G322" s="51">
        <f t="shared" si="150"/>
        <v>0.55</v>
      </c>
      <c r="H322" s="45">
        <f aca="true" t="shared" si="160" ref="H322:M322">H323</f>
        <v>0</v>
      </c>
      <c r="I322" s="45">
        <f t="shared" si="160"/>
        <v>0</v>
      </c>
      <c r="J322" s="45">
        <f t="shared" si="160"/>
        <v>0</v>
      </c>
      <c r="K322" s="51">
        <f t="shared" si="160"/>
        <v>0.55</v>
      </c>
      <c r="L322" s="45">
        <f t="shared" si="160"/>
        <v>0</v>
      </c>
      <c r="M322" s="45">
        <f t="shared" si="160"/>
        <v>0</v>
      </c>
      <c r="N322" s="31"/>
      <c r="O322" s="31"/>
    </row>
    <row r="323" spans="1:15" ht="22.5" customHeight="1">
      <c r="A323" s="41" t="s">
        <v>308</v>
      </c>
      <c r="B323" s="48" t="s">
        <v>76</v>
      </c>
      <c r="C323" s="48" t="s">
        <v>62</v>
      </c>
      <c r="D323" s="48" t="s">
        <v>411</v>
      </c>
      <c r="E323" s="48" t="s">
        <v>95</v>
      </c>
      <c r="F323" s="48" t="s">
        <v>48</v>
      </c>
      <c r="G323" s="51">
        <f t="shared" si="150"/>
        <v>0.55</v>
      </c>
      <c r="H323" s="45">
        <v>0</v>
      </c>
      <c r="I323" s="45">
        <v>0</v>
      </c>
      <c r="J323" s="45">
        <v>0</v>
      </c>
      <c r="K323" s="51">
        <v>0.55</v>
      </c>
      <c r="L323" s="45">
        <v>0</v>
      </c>
      <c r="M323" s="45">
        <v>0</v>
      </c>
      <c r="N323" s="31"/>
      <c r="O323" s="31"/>
    </row>
    <row r="324" spans="1:15" ht="22.5" customHeight="1">
      <c r="A324" s="74" t="s">
        <v>373</v>
      </c>
      <c r="B324" s="75" t="s">
        <v>76</v>
      </c>
      <c r="C324" s="48" t="s">
        <v>62</v>
      </c>
      <c r="D324" s="48" t="s">
        <v>374</v>
      </c>
      <c r="E324" s="48" t="s">
        <v>125</v>
      </c>
      <c r="F324" s="48"/>
      <c r="G324" s="51">
        <f t="shared" si="150"/>
        <v>23.72</v>
      </c>
      <c r="H324" s="51">
        <f aca="true" t="shared" si="161" ref="H324:M324">H325</f>
        <v>23.72</v>
      </c>
      <c r="I324" s="45">
        <f t="shared" si="161"/>
        <v>0</v>
      </c>
      <c r="J324" s="45">
        <f t="shared" si="161"/>
        <v>0</v>
      </c>
      <c r="K324" s="45">
        <f t="shared" si="161"/>
        <v>0</v>
      </c>
      <c r="L324" s="45">
        <f t="shared" si="161"/>
        <v>0</v>
      </c>
      <c r="M324" s="45">
        <f t="shared" si="161"/>
        <v>0</v>
      </c>
      <c r="N324" s="31"/>
      <c r="O324" s="31"/>
    </row>
    <row r="325" spans="1:15" ht="21.75" customHeight="1">
      <c r="A325" s="79" t="s">
        <v>305</v>
      </c>
      <c r="B325" s="48" t="s">
        <v>76</v>
      </c>
      <c r="C325" s="48" t="s">
        <v>62</v>
      </c>
      <c r="D325" s="48" t="s">
        <v>374</v>
      </c>
      <c r="E325" s="48" t="s">
        <v>95</v>
      </c>
      <c r="F325" s="48" t="s">
        <v>49</v>
      </c>
      <c r="G325" s="51">
        <f t="shared" si="150"/>
        <v>23.72</v>
      </c>
      <c r="H325" s="51">
        <v>23.72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31"/>
      <c r="O325" s="31"/>
    </row>
    <row r="326" spans="1:15" ht="24.75" customHeight="1">
      <c r="A326" s="65" t="s">
        <v>293</v>
      </c>
      <c r="B326" s="48" t="s">
        <v>76</v>
      </c>
      <c r="C326" s="48" t="s">
        <v>62</v>
      </c>
      <c r="D326" s="48" t="s">
        <v>154</v>
      </c>
      <c r="E326" s="48" t="s">
        <v>95</v>
      </c>
      <c r="F326" s="48" t="s">
        <v>47</v>
      </c>
      <c r="G326" s="50">
        <f t="shared" si="150"/>
        <v>486.39645999999993</v>
      </c>
      <c r="H326" s="50">
        <f aca="true" t="shared" si="162" ref="H326:M326">H327</f>
        <v>2291.8796</v>
      </c>
      <c r="I326" s="50">
        <f t="shared" si="162"/>
        <v>-1805.4831400000003</v>
      </c>
      <c r="J326" s="45">
        <f t="shared" si="162"/>
        <v>0</v>
      </c>
      <c r="K326" s="45">
        <f t="shared" si="162"/>
        <v>0</v>
      </c>
      <c r="L326" s="45">
        <f t="shared" si="162"/>
        <v>0</v>
      </c>
      <c r="M326" s="45">
        <f t="shared" si="162"/>
        <v>0</v>
      </c>
      <c r="N326" s="31"/>
      <c r="O326" s="31"/>
    </row>
    <row r="327" spans="1:15" ht="26.25" customHeight="1">
      <c r="A327" s="65" t="s">
        <v>412</v>
      </c>
      <c r="B327" s="48" t="s">
        <v>76</v>
      </c>
      <c r="C327" s="48" t="s">
        <v>62</v>
      </c>
      <c r="D327" s="48" t="s">
        <v>154</v>
      </c>
      <c r="E327" s="48" t="s">
        <v>347</v>
      </c>
      <c r="F327" s="48" t="s">
        <v>188</v>
      </c>
      <c r="G327" s="50">
        <f t="shared" si="150"/>
        <v>486.39645999999993</v>
      </c>
      <c r="H327" s="49">
        <f>802.3+1402.2+87.3796</f>
        <v>2291.8796</v>
      </c>
      <c r="I327" s="50">
        <f>786.4-87.3796-2990.9+486.39646</f>
        <v>-1805.4831400000003</v>
      </c>
      <c r="J327" s="45">
        <f>288+113.1-401.1</f>
        <v>0</v>
      </c>
      <c r="K327" s="45">
        <f>2406.9-300-600-480-1026.9</f>
        <v>0</v>
      </c>
      <c r="L327" s="45">
        <f>5244.7-5244.7</f>
        <v>0</v>
      </c>
      <c r="M327" s="45">
        <f>5454.2-5454.2</f>
        <v>0</v>
      </c>
      <c r="N327" s="31"/>
      <c r="O327" s="31"/>
    </row>
    <row r="328" spans="1:15" ht="26.25" customHeight="1">
      <c r="A328" s="87" t="s">
        <v>285</v>
      </c>
      <c r="B328" s="55" t="s">
        <v>76</v>
      </c>
      <c r="C328" s="55" t="s">
        <v>62</v>
      </c>
      <c r="D328" s="55" t="s">
        <v>322</v>
      </c>
      <c r="E328" s="55" t="s">
        <v>59</v>
      </c>
      <c r="F328" s="55"/>
      <c r="G328" s="60">
        <f t="shared" si="150"/>
        <v>0</v>
      </c>
      <c r="H328" s="58">
        <f aca="true" t="shared" si="163" ref="H328:M328">H329</f>
        <v>500</v>
      </c>
      <c r="I328" s="58">
        <f t="shared" si="163"/>
        <v>-500</v>
      </c>
      <c r="J328" s="58">
        <f t="shared" si="163"/>
        <v>0</v>
      </c>
      <c r="K328" s="58">
        <f t="shared" si="163"/>
        <v>0</v>
      </c>
      <c r="L328" s="58">
        <f t="shared" si="163"/>
        <v>500</v>
      </c>
      <c r="M328" s="58">
        <f t="shared" si="163"/>
        <v>500</v>
      </c>
      <c r="N328" s="31"/>
      <c r="O328" s="31"/>
    </row>
    <row r="329" spans="1:15" ht="24.75" customHeight="1">
      <c r="A329" s="43" t="s">
        <v>195</v>
      </c>
      <c r="B329" s="48" t="s">
        <v>76</v>
      </c>
      <c r="C329" s="48" t="s">
        <v>62</v>
      </c>
      <c r="D329" s="48" t="s">
        <v>194</v>
      </c>
      <c r="E329" s="48" t="s">
        <v>95</v>
      </c>
      <c r="F329" s="48"/>
      <c r="G329" s="45">
        <f t="shared" si="150"/>
        <v>0</v>
      </c>
      <c r="H329" s="51">
        <f aca="true" t="shared" si="164" ref="H329:M329">H330</f>
        <v>500</v>
      </c>
      <c r="I329" s="51">
        <f t="shared" si="164"/>
        <v>-500</v>
      </c>
      <c r="J329" s="45">
        <f t="shared" si="164"/>
        <v>0</v>
      </c>
      <c r="K329" s="45">
        <f t="shared" si="164"/>
        <v>0</v>
      </c>
      <c r="L329" s="51">
        <f t="shared" si="164"/>
        <v>500</v>
      </c>
      <c r="M329" s="51">
        <f t="shared" si="164"/>
        <v>500</v>
      </c>
      <c r="N329" s="31"/>
      <c r="O329" s="31"/>
    </row>
    <row r="330" spans="1:15" ht="13.5" customHeight="1">
      <c r="A330" s="41" t="s">
        <v>308</v>
      </c>
      <c r="B330" s="48" t="s">
        <v>76</v>
      </c>
      <c r="C330" s="48" t="s">
        <v>62</v>
      </c>
      <c r="D330" s="48" t="s">
        <v>194</v>
      </c>
      <c r="E330" s="48" t="s">
        <v>95</v>
      </c>
      <c r="F330" s="48" t="s">
        <v>48</v>
      </c>
      <c r="G330" s="45">
        <f t="shared" si="150"/>
        <v>0</v>
      </c>
      <c r="H330" s="51">
        <f>125+27+348</f>
        <v>500</v>
      </c>
      <c r="I330" s="51">
        <v>-500</v>
      </c>
      <c r="J330" s="45">
        <f>125-125</f>
        <v>0</v>
      </c>
      <c r="K330" s="45">
        <f>125-25-100</f>
        <v>0</v>
      </c>
      <c r="L330" s="51">
        <v>500</v>
      </c>
      <c r="M330" s="51">
        <v>500</v>
      </c>
      <c r="N330" s="31"/>
      <c r="O330" s="31"/>
    </row>
    <row r="331" spans="1:15" ht="28.5" customHeight="1">
      <c r="A331" s="62" t="s">
        <v>328</v>
      </c>
      <c r="B331" s="55" t="s">
        <v>76</v>
      </c>
      <c r="C331" s="55" t="s">
        <v>62</v>
      </c>
      <c r="D331" s="55" t="s">
        <v>320</v>
      </c>
      <c r="E331" s="55" t="s">
        <v>59</v>
      </c>
      <c r="F331" s="55"/>
      <c r="G331" s="56">
        <f t="shared" si="150"/>
        <v>6021.045260000001</v>
      </c>
      <c r="H331" s="56">
        <f aca="true" t="shared" si="165" ref="H331:M331">H332+H341+H343</f>
        <v>599.27458</v>
      </c>
      <c r="I331" s="56">
        <f t="shared" si="165"/>
        <v>728.6799</v>
      </c>
      <c r="J331" s="56">
        <f t="shared" si="165"/>
        <v>877.89506</v>
      </c>
      <c r="K331" s="56">
        <f t="shared" si="165"/>
        <v>3815.1957200000006</v>
      </c>
      <c r="L331" s="58">
        <f t="shared" si="165"/>
        <v>3218.7999999999997</v>
      </c>
      <c r="M331" s="58">
        <f t="shared" si="165"/>
        <v>3218.7999999999997</v>
      </c>
      <c r="N331" s="31"/>
      <c r="O331" s="31"/>
    </row>
    <row r="332" spans="1:15" ht="24" customHeight="1">
      <c r="A332" s="74" t="s">
        <v>413</v>
      </c>
      <c r="B332" s="55" t="s">
        <v>76</v>
      </c>
      <c r="C332" s="55" t="s">
        <v>62</v>
      </c>
      <c r="D332" s="55" t="s">
        <v>414</v>
      </c>
      <c r="E332" s="55" t="s">
        <v>96</v>
      </c>
      <c r="F332" s="48"/>
      <c r="G332" s="50">
        <f aca="true" t="shared" si="166" ref="G332:G340">H332+I332+J332+K332</f>
        <v>2681.46788</v>
      </c>
      <c r="H332" s="45">
        <f aca="true" t="shared" si="167" ref="H332:M332">H333+H336</f>
        <v>0</v>
      </c>
      <c r="I332" s="45">
        <f t="shared" si="167"/>
        <v>53.68968</v>
      </c>
      <c r="J332" s="45">
        <f t="shared" si="167"/>
        <v>166.14432</v>
      </c>
      <c r="K332" s="45">
        <f t="shared" si="167"/>
        <v>2461.6338800000003</v>
      </c>
      <c r="L332" s="45">
        <f t="shared" si="167"/>
        <v>0</v>
      </c>
      <c r="M332" s="45">
        <f t="shared" si="167"/>
        <v>0</v>
      </c>
      <c r="N332" s="31"/>
      <c r="O332" s="31"/>
    </row>
    <row r="333" spans="1:15" ht="17.25" customHeight="1">
      <c r="A333" s="74" t="s">
        <v>23</v>
      </c>
      <c r="B333" s="48" t="s">
        <v>76</v>
      </c>
      <c r="C333" s="48" t="s">
        <v>62</v>
      </c>
      <c r="D333" s="48" t="s">
        <v>414</v>
      </c>
      <c r="E333" s="48" t="s">
        <v>272</v>
      </c>
      <c r="F333" s="48"/>
      <c r="G333" s="53">
        <f t="shared" si="166"/>
        <v>2428.137</v>
      </c>
      <c r="H333" s="45">
        <f aca="true" t="shared" si="168" ref="H333:M333">H334+H335</f>
        <v>0</v>
      </c>
      <c r="I333" s="45">
        <f t="shared" si="168"/>
        <v>0</v>
      </c>
      <c r="J333" s="51">
        <f t="shared" si="168"/>
        <v>9.35</v>
      </c>
      <c r="K333" s="53">
        <f t="shared" si="168"/>
        <v>2418.7870000000003</v>
      </c>
      <c r="L333" s="45">
        <f t="shared" si="168"/>
        <v>0</v>
      </c>
      <c r="M333" s="45">
        <f t="shared" si="168"/>
        <v>0</v>
      </c>
      <c r="N333" s="31"/>
      <c r="O333" s="31"/>
    </row>
    <row r="334" spans="1:15" ht="17.25" customHeight="1">
      <c r="A334" s="41" t="s">
        <v>308</v>
      </c>
      <c r="B334" s="48" t="s">
        <v>76</v>
      </c>
      <c r="C334" s="48" t="s">
        <v>62</v>
      </c>
      <c r="D334" s="48" t="s">
        <v>414</v>
      </c>
      <c r="E334" s="48" t="s">
        <v>272</v>
      </c>
      <c r="F334" s="48" t="s">
        <v>48</v>
      </c>
      <c r="G334" s="53">
        <f t="shared" si="166"/>
        <v>2398.7870000000003</v>
      </c>
      <c r="H334" s="45">
        <f>179-179</f>
        <v>0</v>
      </c>
      <c r="I334" s="45">
        <v>0</v>
      </c>
      <c r="J334" s="45">
        <f>2398.787-9.35-286.8468-2102.5902</f>
        <v>0</v>
      </c>
      <c r="K334" s="53">
        <f>2102.5902+296.1968</f>
        <v>2398.7870000000003</v>
      </c>
      <c r="L334" s="45">
        <v>0</v>
      </c>
      <c r="M334" s="45">
        <v>0</v>
      </c>
      <c r="N334" s="31"/>
      <c r="O334" s="31"/>
    </row>
    <row r="335" spans="1:15" ht="17.25" customHeight="1">
      <c r="A335" s="79" t="s">
        <v>305</v>
      </c>
      <c r="B335" s="48" t="s">
        <v>76</v>
      </c>
      <c r="C335" s="48" t="s">
        <v>62</v>
      </c>
      <c r="D335" s="48" t="s">
        <v>414</v>
      </c>
      <c r="E335" s="48" t="s">
        <v>272</v>
      </c>
      <c r="F335" s="48" t="s">
        <v>49</v>
      </c>
      <c r="G335" s="51">
        <f>H335+I335+J335+K335</f>
        <v>29.35</v>
      </c>
      <c r="H335" s="45">
        <f>179-179</f>
        <v>0</v>
      </c>
      <c r="I335" s="45">
        <v>0</v>
      </c>
      <c r="J335" s="51">
        <v>9.35</v>
      </c>
      <c r="K335" s="51">
        <f>316.1968-296.1968</f>
        <v>20</v>
      </c>
      <c r="L335" s="45">
        <v>0</v>
      </c>
      <c r="M335" s="45">
        <v>0</v>
      </c>
      <c r="N335" s="31"/>
      <c r="O335" s="31"/>
    </row>
    <row r="336" spans="1:15" ht="17.25" customHeight="1">
      <c r="A336" s="79" t="s">
        <v>23</v>
      </c>
      <c r="B336" s="48" t="s">
        <v>76</v>
      </c>
      <c r="C336" s="48" t="s">
        <v>62</v>
      </c>
      <c r="D336" s="48" t="s">
        <v>414</v>
      </c>
      <c r="E336" s="48" t="s">
        <v>95</v>
      </c>
      <c r="F336" s="48"/>
      <c r="G336" s="50">
        <f>H336+I336+J336+K336</f>
        <v>253.33088</v>
      </c>
      <c r="H336" s="45">
        <f aca="true" t="shared" si="169" ref="H336:M336">H337+H338+H339+H340</f>
        <v>0</v>
      </c>
      <c r="I336" s="50">
        <f t="shared" si="169"/>
        <v>53.68968</v>
      </c>
      <c r="J336" s="50">
        <f t="shared" si="169"/>
        <v>156.79432</v>
      </c>
      <c r="K336" s="50">
        <f t="shared" si="169"/>
        <v>42.84688</v>
      </c>
      <c r="L336" s="45">
        <f t="shared" si="169"/>
        <v>0</v>
      </c>
      <c r="M336" s="45">
        <f t="shared" si="169"/>
        <v>0</v>
      </c>
      <c r="N336" s="31"/>
      <c r="O336" s="31"/>
    </row>
    <row r="337" spans="1:15" ht="16.5" customHeight="1">
      <c r="A337" s="61" t="s">
        <v>415</v>
      </c>
      <c r="B337" s="48" t="s">
        <v>76</v>
      </c>
      <c r="C337" s="48" t="s">
        <v>62</v>
      </c>
      <c r="D337" s="48" t="s">
        <v>414</v>
      </c>
      <c r="E337" s="48" t="s">
        <v>95</v>
      </c>
      <c r="F337" s="48" t="s">
        <v>416</v>
      </c>
      <c r="G337" s="50">
        <f t="shared" si="166"/>
        <v>198.24088</v>
      </c>
      <c r="H337" s="45">
        <f>179-179</f>
        <v>0</v>
      </c>
      <c r="I337" s="50">
        <f>11.97264+31.92704</f>
        <v>43.899680000000004</v>
      </c>
      <c r="J337" s="50">
        <f>35.91792+42.0632+42.0632</f>
        <v>120.04432</v>
      </c>
      <c r="K337" s="50">
        <f>29.44424+0.64632+4.20632</f>
        <v>34.29688</v>
      </c>
      <c r="L337" s="45">
        <v>0</v>
      </c>
      <c r="M337" s="45">
        <v>0</v>
      </c>
      <c r="N337" s="31"/>
      <c r="O337" s="31"/>
    </row>
    <row r="338" spans="1:15" ht="22.5" customHeight="1">
      <c r="A338" s="61" t="s">
        <v>417</v>
      </c>
      <c r="B338" s="48" t="s">
        <v>76</v>
      </c>
      <c r="C338" s="48" t="s">
        <v>62</v>
      </c>
      <c r="D338" s="48" t="s">
        <v>414</v>
      </c>
      <c r="E338" s="48" t="s">
        <v>95</v>
      </c>
      <c r="F338" s="48" t="s">
        <v>418</v>
      </c>
      <c r="G338" s="51">
        <f t="shared" si="166"/>
        <v>14.1</v>
      </c>
      <c r="H338" s="45">
        <f>179-179</f>
        <v>0</v>
      </c>
      <c r="I338" s="45">
        <v>0</v>
      </c>
      <c r="J338" s="51">
        <f>14.1-7.05</f>
        <v>7.05</v>
      </c>
      <c r="K338" s="51">
        <v>7.05</v>
      </c>
      <c r="L338" s="45">
        <v>0</v>
      </c>
      <c r="M338" s="45">
        <v>0</v>
      </c>
      <c r="N338" s="31"/>
      <c r="O338" s="31"/>
    </row>
    <row r="339" spans="1:15" ht="18" customHeight="1">
      <c r="A339" s="79" t="s">
        <v>305</v>
      </c>
      <c r="B339" s="48" t="s">
        <v>76</v>
      </c>
      <c r="C339" s="48" t="s">
        <v>62</v>
      </c>
      <c r="D339" s="48" t="s">
        <v>414</v>
      </c>
      <c r="E339" s="48" t="s">
        <v>95</v>
      </c>
      <c r="F339" s="48" t="s">
        <v>49</v>
      </c>
      <c r="G339" s="51">
        <f t="shared" si="166"/>
        <v>39.489999999999995</v>
      </c>
      <c r="H339" s="45">
        <v>0</v>
      </c>
      <c r="I339" s="51">
        <v>9.79</v>
      </c>
      <c r="J339" s="51">
        <v>29.7</v>
      </c>
      <c r="K339" s="45">
        <v>0</v>
      </c>
      <c r="L339" s="45">
        <v>0</v>
      </c>
      <c r="M339" s="45">
        <v>0</v>
      </c>
      <c r="N339" s="31"/>
      <c r="O339" s="31"/>
    </row>
    <row r="340" spans="1:15" ht="20.25" customHeight="1">
      <c r="A340" s="43" t="s">
        <v>33</v>
      </c>
      <c r="B340" s="48" t="s">
        <v>76</v>
      </c>
      <c r="C340" s="48" t="s">
        <v>62</v>
      </c>
      <c r="D340" s="48" t="s">
        <v>414</v>
      </c>
      <c r="E340" s="48" t="s">
        <v>95</v>
      </c>
      <c r="F340" s="48" t="s">
        <v>340</v>
      </c>
      <c r="G340" s="51">
        <f t="shared" si="166"/>
        <v>1.5</v>
      </c>
      <c r="H340" s="45">
        <v>0</v>
      </c>
      <c r="I340" s="45">
        <v>0</v>
      </c>
      <c r="J340" s="45">
        <v>0</v>
      </c>
      <c r="K340" s="51">
        <v>1.5</v>
      </c>
      <c r="L340" s="45"/>
      <c r="M340" s="45"/>
      <c r="N340" s="31"/>
      <c r="O340" s="31"/>
    </row>
    <row r="341" spans="1:15" ht="18" customHeight="1">
      <c r="A341" s="43" t="s">
        <v>419</v>
      </c>
      <c r="B341" s="48" t="s">
        <v>76</v>
      </c>
      <c r="C341" s="48" t="s">
        <v>62</v>
      </c>
      <c r="D341" s="48" t="s">
        <v>274</v>
      </c>
      <c r="E341" s="48" t="s">
        <v>95</v>
      </c>
      <c r="F341" s="48"/>
      <c r="G341" s="51">
        <f>H341+I341+J341+K341</f>
        <v>140.75</v>
      </c>
      <c r="H341" s="45">
        <f aca="true" t="shared" si="170" ref="H341:M341">H342</f>
        <v>0</v>
      </c>
      <c r="I341" s="45">
        <f t="shared" si="170"/>
        <v>0</v>
      </c>
      <c r="J341" s="45">
        <f t="shared" si="170"/>
        <v>0</v>
      </c>
      <c r="K341" s="51">
        <f t="shared" si="170"/>
        <v>140.75</v>
      </c>
      <c r="L341" s="45">
        <f t="shared" si="170"/>
        <v>0</v>
      </c>
      <c r="M341" s="45">
        <f t="shared" si="170"/>
        <v>0</v>
      </c>
      <c r="N341" s="31"/>
      <c r="O341" s="31"/>
    </row>
    <row r="342" spans="1:15" ht="24" customHeight="1">
      <c r="A342" s="79" t="s">
        <v>265</v>
      </c>
      <c r="B342" s="48" t="s">
        <v>76</v>
      </c>
      <c r="C342" s="48" t="s">
        <v>62</v>
      </c>
      <c r="D342" s="48" t="s">
        <v>274</v>
      </c>
      <c r="E342" s="48" t="s">
        <v>95</v>
      </c>
      <c r="F342" s="48" t="s">
        <v>53</v>
      </c>
      <c r="G342" s="51">
        <f>H342+I342+J342+K342</f>
        <v>140.75</v>
      </c>
      <c r="H342" s="45">
        <v>0</v>
      </c>
      <c r="I342" s="45">
        <v>0</v>
      </c>
      <c r="J342" s="45">
        <v>0</v>
      </c>
      <c r="K342" s="51">
        <v>140.75</v>
      </c>
      <c r="L342" s="45">
        <v>0</v>
      </c>
      <c r="M342" s="45">
        <v>0</v>
      </c>
      <c r="N342" s="31"/>
      <c r="O342" s="31"/>
    </row>
    <row r="343" spans="1:15" ht="54" customHeight="1">
      <c r="A343" s="62" t="s">
        <v>260</v>
      </c>
      <c r="B343" s="55" t="s">
        <v>76</v>
      </c>
      <c r="C343" s="55" t="s">
        <v>62</v>
      </c>
      <c r="D343" s="55" t="s">
        <v>261</v>
      </c>
      <c r="E343" s="55" t="s">
        <v>131</v>
      </c>
      <c r="F343" s="48"/>
      <c r="G343" s="56">
        <f aca="true" t="shared" si="171" ref="G343:G353">H343+I343+J343+K343</f>
        <v>3198.8273799999997</v>
      </c>
      <c r="H343" s="56">
        <f aca="true" t="shared" si="172" ref="H343:M343">H344</f>
        <v>599.27458</v>
      </c>
      <c r="I343" s="56">
        <f t="shared" si="172"/>
        <v>674.99022</v>
      </c>
      <c r="J343" s="56">
        <f t="shared" si="172"/>
        <v>711.75074</v>
      </c>
      <c r="K343" s="56">
        <f t="shared" si="172"/>
        <v>1212.81184</v>
      </c>
      <c r="L343" s="58">
        <f t="shared" si="172"/>
        <v>3218.7999999999997</v>
      </c>
      <c r="M343" s="58">
        <f t="shared" si="172"/>
        <v>3218.7999999999997</v>
      </c>
      <c r="N343" s="31"/>
      <c r="O343" s="31"/>
    </row>
    <row r="344" spans="1:15" ht="13.5" customHeight="1">
      <c r="A344" s="43" t="s">
        <v>15</v>
      </c>
      <c r="B344" s="48" t="s">
        <v>76</v>
      </c>
      <c r="C344" s="48" t="s">
        <v>62</v>
      </c>
      <c r="D344" s="48" t="s">
        <v>261</v>
      </c>
      <c r="E344" s="48" t="s">
        <v>105</v>
      </c>
      <c r="F344" s="48" t="s">
        <v>107</v>
      </c>
      <c r="G344" s="50">
        <f t="shared" si="171"/>
        <v>3198.8273799999997</v>
      </c>
      <c r="H344" s="50">
        <f aca="true" t="shared" si="173" ref="H344:M344">H345+H346</f>
        <v>599.27458</v>
      </c>
      <c r="I344" s="50">
        <f t="shared" si="173"/>
        <v>674.99022</v>
      </c>
      <c r="J344" s="50">
        <f t="shared" si="173"/>
        <v>711.75074</v>
      </c>
      <c r="K344" s="50">
        <f t="shared" si="173"/>
        <v>1212.81184</v>
      </c>
      <c r="L344" s="51">
        <f t="shared" si="173"/>
        <v>3218.7999999999997</v>
      </c>
      <c r="M344" s="51">
        <f t="shared" si="173"/>
        <v>3218.7999999999997</v>
      </c>
      <c r="N344" s="31"/>
      <c r="O344" s="31"/>
    </row>
    <row r="345" spans="1:15" ht="13.5" customHeight="1">
      <c r="A345" s="43" t="s">
        <v>16</v>
      </c>
      <c r="B345" s="48" t="s">
        <v>76</v>
      </c>
      <c r="C345" s="48" t="s">
        <v>62</v>
      </c>
      <c r="D345" s="48" t="s">
        <v>261</v>
      </c>
      <c r="E345" s="48" t="s">
        <v>90</v>
      </c>
      <c r="F345" s="48" t="s">
        <v>108</v>
      </c>
      <c r="G345" s="50">
        <f t="shared" si="171"/>
        <v>2459.7674100000004</v>
      </c>
      <c r="H345" s="50">
        <f>494.4-15.72254</f>
        <v>478.67746</v>
      </c>
      <c r="I345" s="50">
        <f>618.1+15.72254-110.64185</f>
        <v>523.18069</v>
      </c>
      <c r="J345" s="50">
        <f>618.1+110.64185-189.35193</f>
        <v>539.38992</v>
      </c>
      <c r="K345" s="50">
        <f>741.6+189.35193+62.2-74.63259</f>
        <v>918.51934</v>
      </c>
      <c r="L345" s="51">
        <v>2472.2</v>
      </c>
      <c r="M345" s="51">
        <v>2472.2</v>
      </c>
      <c r="N345" s="31"/>
      <c r="O345" s="31"/>
    </row>
    <row r="346" spans="1:15" ht="13.5" customHeight="1">
      <c r="A346" s="43" t="s">
        <v>18</v>
      </c>
      <c r="B346" s="48" t="s">
        <v>76</v>
      </c>
      <c r="C346" s="48" t="s">
        <v>62</v>
      </c>
      <c r="D346" s="48" t="s">
        <v>261</v>
      </c>
      <c r="E346" s="48" t="s">
        <v>90</v>
      </c>
      <c r="F346" s="48" t="s">
        <v>110</v>
      </c>
      <c r="G346" s="50">
        <f t="shared" si="171"/>
        <v>739.05997</v>
      </c>
      <c r="H346" s="50">
        <f>149.3-28.70288</f>
        <v>120.59712000000002</v>
      </c>
      <c r="I346" s="50">
        <f>186.7+28.70288-63.59335</f>
        <v>151.80953</v>
      </c>
      <c r="J346" s="50">
        <f>186.7+63.59335-77.93253</f>
        <v>172.36082</v>
      </c>
      <c r="K346" s="50">
        <f>223.9+77.93253+18.8-26.34003</f>
        <v>294.2925</v>
      </c>
      <c r="L346" s="51">
        <v>746.6</v>
      </c>
      <c r="M346" s="51">
        <v>746.6</v>
      </c>
      <c r="N346" s="31"/>
      <c r="O346" s="31"/>
    </row>
    <row r="347" spans="1:15" ht="25.5" customHeight="1">
      <c r="A347" s="62" t="s">
        <v>284</v>
      </c>
      <c r="B347" s="55" t="s">
        <v>76</v>
      </c>
      <c r="C347" s="55" t="s">
        <v>62</v>
      </c>
      <c r="D347" s="55" t="s">
        <v>323</v>
      </c>
      <c r="E347" s="55" t="s">
        <v>59</v>
      </c>
      <c r="F347" s="48"/>
      <c r="G347" s="59">
        <f t="shared" si="171"/>
        <v>11259.2334</v>
      </c>
      <c r="H347" s="60">
        <f aca="true" t="shared" si="174" ref="H347:M347">H348+H350+H352+H354+H356+H358+H360+H362+H364+H366+H368</f>
        <v>0</v>
      </c>
      <c r="I347" s="60">
        <f t="shared" si="174"/>
        <v>0</v>
      </c>
      <c r="J347" s="60">
        <f t="shared" si="174"/>
        <v>7204.037689999999</v>
      </c>
      <c r="K347" s="60">
        <f t="shared" si="174"/>
        <v>4055.1957100000004</v>
      </c>
      <c r="L347" s="60">
        <f t="shared" si="174"/>
        <v>7493.37036</v>
      </c>
      <c r="M347" s="60">
        <f t="shared" si="174"/>
        <v>7118.7</v>
      </c>
      <c r="N347" s="31"/>
      <c r="O347" s="31"/>
    </row>
    <row r="348" spans="1:15" ht="43.5" customHeight="1">
      <c r="A348" s="43" t="s">
        <v>420</v>
      </c>
      <c r="B348" s="48" t="s">
        <v>76</v>
      </c>
      <c r="C348" s="48" t="s">
        <v>62</v>
      </c>
      <c r="D348" s="48" t="s">
        <v>221</v>
      </c>
      <c r="E348" s="48" t="s">
        <v>96</v>
      </c>
      <c r="F348" s="48"/>
      <c r="G348" s="51">
        <f t="shared" si="171"/>
        <v>48.139999999999986</v>
      </c>
      <c r="H348" s="45">
        <f aca="true" t="shared" si="175" ref="H348:M350">H349</f>
        <v>0</v>
      </c>
      <c r="I348" s="45">
        <f t="shared" si="175"/>
        <v>0</v>
      </c>
      <c r="J348" s="51">
        <f t="shared" si="175"/>
        <v>38.139999999999986</v>
      </c>
      <c r="K348" s="51">
        <f t="shared" si="175"/>
        <v>10</v>
      </c>
      <c r="L348" s="45">
        <f t="shared" si="175"/>
        <v>0</v>
      </c>
      <c r="M348" s="45">
        <f t="shared" si="175"/>
        <v>0</v>
      </c>
      <c r="N348" s="31"/>
      <c r="O348" s="31"/>
    </row>
    <row r="349" spans="1:15" ht="13.5" customHeight="1">
      <c r="A349" s="79" t="s">
        <v>305</v>
      </c>
      <c r="B349" s="48" t="s">
        <v>76</v>
      </c>
      <c r="C349" s="48" t="s">
        <v>62</v>
      </c>
      <c r="D349" s="48" t="s">
        <v>221</v>
      </c>
      <c r="E349" s="48" t="s">
        <v>95</v>
      </c>
      <c r="F349" s="48" t="s">
        <v>49</v>
      </c>
      <c r="G349" s="51">
        <f t="shared" si="171"/>
        <v>48.139999999999986</v>
      </c>
      <c r="H349" s="45">
        <f>62-62</f>
        <v>0</v>
      </c>
      <c r="I349" s="45">
        <f>62+100-162</f>
        <v>0</v>
      </c>
      <c r="J349" s="51">
        <f>162+132.5-100-0.75-155.61</f>
        <v>38.139999999999986</v>
      </c>
      <c r="K349" s="51">
        <f>155.61-145.61</f>
        <v>10</v>
      </c>
      <c r="L349" s="45">
        <f>13.6+22.14276-35.74276</f>
        <v>0</v>
      </c>
      <c r="M349" s="45">
        <v>0</v>
      </c>
      <c r="N349" s="31"/>
      <c r="O349" s="31"/>
    </row>
    <row r="350" spans="1:15" ht="41.25" customHeight="1">
      <c r="A350" s="88" t="s">
        <v>421</v>
      </c>
      <c r="B350" s="48" t="s">
        <v>76</v>
      </c>
      <c r="C350" s="48" t="s">
        <v>62</v>
      </c>
      <c r="D350" s="48" t="s">
        <v>222</v>
      </c>
      <c r="E350" s="48" t="s">
        <v>96</v>
      </c>
      <c r="F350" s="48"/>
      <c r="G350" s="51">
        <f t="shared" si="171"/>
        <v>35</v>
      </c>
      <c r="H350" s="45">
        <f t="shared" si="175"/>
        <v>0</v>
      </c>
      <c r="I350" s="45">
        <f t="shared" si="175"/>
        <v>0</v>
      </c>
      <c r="J350" s="45">
        <f t="shared" si="175"/>
        <v>0</v>
      </c>
      <c r="K350" s="51">
        <f t="shared" si="175"/>
        <v>35</v>
      </c>
      <c r="L350" s="45">
        <f t="shared" si="175"/>
        <v>0</v>
      </c>
      <c r="M350" s="45">
        <f t="shared" si="175"/>
        <v>0</v>
      </c>
      <c r="N350" s="31"/>
      <c r="O350" s="31"/>
    </row>
    <row r="351" spans="1:15" ht="13.5" customHeight="1">
      <c r="A351" s="79" t="s">
        <v>305</v>
      </c>
      <c r="B351" s="48" t="s">
        <v>76</v>
      </c>
      <c r="C351" s="48" t="s">
        <v>62</v>
      </c>
      <c r="D351" s="48" t="s">
        <v>222</v>
      </c>
      <c r="E351" s="48" t="s">
        <v>95</v>
      </c>
      <c r="F351" s="48" t="s">
        <v>49</v>
      </c>
      <c r="G351" s="51">
        <f t="shared" si="171"/>
        <v>35</v>
      </c>
      <c r="H351" s="45">
        <f>62-62</f>
        <v>0</v>
      </c>
      <c r="I351" s="45">
        <f>62+100-162</f>
        <v>0</v>
      </c>
      <c r="J351" s="45">
        <f>17.5-17.5</f>
        <v>0</v>
      </c>
      <c r="K351" s="51">
        <f>17.5+17.5</f>
        <v>35</v>
      </c>
      <c r="L351" s="45">
        <f>13.6+22.14276-35.74276</f>
        <v>0</v>
      </c>
      <c r="M351" s="45">
        <v>0</v>
      </c>
      <c r="N351" s="31"/>
      <c r="O351" s="31"/>
    </row>
    <row r="352" spans="1:15" ht="30" customHeight="1">
      <c r="A352" s="43" t="s">
        <v>422</v>
      </c>
      <c r="B352" s="48" t="s">
        <v>76</v>
      </c>
      <c r="C352" s="48" t="s">
        <v>62</v>
      </c>
      <c r="D352" s="48" t="s">
        <v>423</v>
      </c>
      <c r="E352" s="48" t="s">
        <v>96</v>
      </c>
      <c r="F352" s="48"/>
      <c r="G352" s="53">
        <f t="shared" si="171"/>
        <v>123.541</v>
      </c>
      <c r="H352" s="45">
        <f aca="true" t="shared" si="176" ref="H352:M352">H353</f>
        <v>0</v>
      </c>
      <c r="I352" s="45">
        <f t="shared" si="176"/>
        <v>0</v>
      </c>
      <c r="J352" s="51">
        <f t="shared" si="176"/>
        <v>100</v>
      </c>
      <c r="K352" s="53">
        <f t="shared" si="176"/>
        <v>23.541</v>
      </c>
      <c r="L352" s="45">
        <f t="shared" si="176"/>
        <v>0</v>
      </c>
      <c r="M352" s="45">
        <f t="shared" si="176"/>
        <v>0</v>
      </c>
      <c r="N352" s="31"/>
      <c r="O352" s="31"/>
    </row>
    <row r="353" spans="1:15" ht="13.5" customHeight="1">
      <c r="A353" s="41" t="s">
        <v>126</v>
      </c>
      <c r="B353" s="48" t="s">
        <v>76</v>
      </c>
      <c r="C353" s="48" t="s">
        <v>62</v>
      </c>
      <c r="D353" s="48" t="s">
        <v>423</v>
      </c>
      <c r="E353" s="48" t="s">
        <v>95</v>
      </c>
      <c r="F353" s="48" t="s">
        <v>49</v>
      </c>
      <c r="G353" s="53">
        <f t="shared" si="171"/>
        <v>123.541</v>
      </c>
      <c r="H353" s="45">
        <f>115.8-115.8</f>
        <v>0</v>
      </c>
      <c r="I353" s="45">
        <f>128.97-128.97</f>
        <v>0</v>
      </c>
      <c r="J353" s="51">
        <f>32+100-32</f>
        <v>100</v>
      </c>
      <c r="K353" s="53">
        <f>32-8.459</f>
        <v>23.541</v>
      </c>
      <c r="L353" s="45">
        <f>108.498+2.1-110.598</f>
        <v>0</v>
      </c>
      <c r="M353" s="45">
        <v>0</v>
      </c>
      <c r="N353" s="31"/>
      <c r="O353" s="31"/>
    </row>
    <row r="354" spans="1:15" ht="33" customHeight="1">
      <c r="A354" s="65" t="s">
        <v>424</v>
      </c>
      <c r="B354" s="48" t="s">
        <v>76</v>
      </c>
      <c r="C354" s="48" t="s">
        <v>62</v>
      </c>
      <c r="D354" s="48" t="s">
        <v>242</v>
      </c>
      <c r="E354" s="48" t="s">
        <v>96</v>
      </c>
      <c r="F354" s="48"/>
      <c r="G354" s="45">
        <f aca="true" t="shared" si="177" ref="G354:G369">H354+I354+J354+K354</f>
        <v>0</v>
      </c>
      <c r="H354" s="45">
        <f aca="true" t="shared" si="178" ref="H354:M354">H355</f>
        <v>0</v>
      </c>
      <c r="I354" s="45">
        <f t="shared" si="178"/>
        <v>0</v>
      </c>
      <c r="J354" s="45">
        <f t="shared" si="178"/>
        <v>0</v>
      </c>
      <c r="K354" s="45">
        <f t="shared" si="178"/>
        <v>0</v>
      </c>
      <c r="L354" s="51">
        <f t="shared" si="178"/>
        <v>7118.7</v>
      </c>
      <c r="M354" s="51">
        <f t="shared" si="178"/>
        <v>7118.7</v>
      </c>
      <c r="N354" s="31"/>
      <c r="O354" s="31"/>
    </row>
    <row r="355" spans="1:15" ht="15.75" customHeight="1">
      <c r="A355" s="41" t="s">
        <v>308</v>
      </c>
      <c r="B355" s="48" t="s">
        <v>76</v>
      </c>
      <c r="C355" s="48" t="s">
        <v>62</v>
      </c>
      <c r="D355" s="48" t="s">
        <v>242</v>
      </c>
      <c r="E355" s="48" t="s">
        <v>95</v>
      </c>
      <c r="F355" s="48" t="s">
        <v>48</v>
      </c>
      <c r="G355" s="45">
        <f t="shared" si="177"/>
        <v>0</v>
      </c>
      <c r="H355" s="45">
        <f>47.82603-47.82603</f>
        <v>0</v>
      </c>
      <c r="I355" s="45">
        <v>0</v>
      </c>
      <c r="J355" s="45">
        <v>0</v>
      </c>
      <c r="K355" s="45">
        <v>0</v>
      </c>
      <c r="L355" s="51">
        <f>6627.5+135.3+355.9</f>
        <v>7118.7</v>
      </c>
      <c r="M355" s="51">
        <f>6627.5+135.3+355.9</f>
        <v>7118.7</v>
      </c>
      <c r="N355" s="31"/>
      <c r="O355" s="31"/>
    </row>
    <row r="356" spans="1:15" ht="54.75" customHeight="1">
      <c r="A356" s="43" t="s">
        <v>226</v>
      </c>
      <c r="B356" s="48" t="s">
        <v>76</v>
      </c>
      <c r="C356" s="48" t="s">
        <v>62</v>
      </c>
      <c r="D356" s="48" t="s">
        <v>227</v>
      </c>
      <c r="E356" s="48" t="s">
        <v>96</v>
      </c>
      <c r="F356" s="48"/>
      <c r="G356" s="45">
        <f t="shared" si="177"/>
        <v>0</v>
      </c>
      <c r="H356" s="45">
        <f aca="true" t="shared" si="179" ref="H356:M358">H357</f>
        <v>0</v>
      </c>
      <c r="I356" s="45">
        <f t="shared" si="179"/>
        <v>0</v>
      </c>
      <c r="J356" s="45">
        <f t="shared" si="179"/>
        <v>0</v>
      </c>
      <c r="K356" s="45">
        <f t="shared" si="179"/>
        <v>0</v>
      </c>
      <c r="L356" s="50">
        <f t="shared" si="179"/>
        <v>374.67036</v>
      </c>
      <c r="M356" s="45">
        <f t="shared" si="179"/>
        <v>0</v>
      </c>
      <c r="N356" s="31"/>
      <c r="O356" s="31"/>
    </row>
    <row r="357" spans="1:15" ht="15.75" customHeight="1">
      <c r="A357" s="41" t="s">
        <v>126</v>
      </c>
      <c r="B357" s="48" t="s">
        <v>76</v>
      </c>
      <c r="C357" s="48" t="s">
        <v>62</v>
      </c>
      <c r="D357" s="48" t="s">
        <v>227</v>
      </c>
      <c r="E357" s="48" t="s">
        <v>95</v>
      </c>
      <c r="F357" s="48" t="s">
        <v>49</v>
      </c>
      <c r="G357" s="45">
        <f t="shared" si="177"/>
        <v>0</v>
      </c>
      <c r="H357" s="45">
        <f>9.9-9.9</f>
        <v>0</v>
      </c>
      <c r="I357" s="45">
        <v>0</v>
      </c>
      <c r="J357" s="45">
        <v>0</v>
      </c>
      <c r="K357" s="45">
        <f>3.32-3.32</f>
        <v>0</v>
      </c>
      <c r="L357" s="50">
        <v>374.67036</v>
      </c>
      <c r="M357" s="45">
        <f>3.32-3.32</f>
        <v>0</v>
      </c>
      <c r="N357" s="31"/>
      <c r="O357" s="31"/>
    </row>
    <row r="358" spans="1:15" ht="31.5" customHeight="1">
      <c r="A358" s="82" t="s">
        <v>425</v>
      </c>
      <c r="B358" s="48" t="s">
        <v>76</v>
      </c>
      <c r="C358" s="48" t="s">
        <v>62</v>
      </c>
      <c r="D358" s="48" t="s">
        <v>227</v>
      </c>
      <c r="E358" s="48" t="s">
        <v>96</v>
      </c>
      <c r="F358" s="48"/>
      <c r="G358" s="51">
        <f t="shared" si="177"/>
        <v>1.5</v>
      </c>
      <c r="H358" s="45">
        <f t="shared" si="179"/>
        <v>0</v>
      </c>
      <c r="I358" s="45">
        <f t="shared" si="179"/>
        <v>0</v>
      </c>
      <c r="J358" s="51">
        <f t="shared" si="179"/>
        <v>0.75</v>
      </c>
      <c r="K358" s="51">
        <f t="shared" si="179"/>
        <v>0.75</v>
      </c>
      <c r="L358" s="45">
        <f t="shared" si="179"/>
        <v>0</v>
      </c>
      <c r="M358" s="45">
        <f t="shared" si="179"/>
        <v>0</v>
      </c>
      <c r="N358" s="31"/>
      <c r="O358" s="31"/>
    </row>
    <row r="359" spans="1:15" ht="15.75" customHeight="1">
      <c r="A359" s="41" t="s">
        <v>126</v>
      </c>
      <c r="B359" s="48" t="s">
        <v>76</v>
      </c>
      <c r="C359" s="48" t="s">
        <v>62</v>
      </c>
      <c r="D359" s="48" t="s">
        <v>227</v>
      </c>
      <c r="E359" s="48" t="s">
        <v>95</v>
      </c>
      <c r="F359" s="48" t="s">
        <v>340</v>
      </c>
      <c r="G359" s="51">
        <f t="shared" si="177"/>
        <v>1.5</v>
      </c>
      <c r="H359" s="45">
        <f>9.9-9.9</f>
        <v>0</v>
      </c>
      <c r="I359" s="45">
        <v>0</v>
      </c>
      <c r="J359" s="51">
        <f>0.75</f>
        <v>0.75</v>
      </c>
      <c r="K359" s="51">
        <v>0.75</v>
      </c>
      <c r="L359" s="45">
        <v>0</v>
      </c>
      <c r="M359" s="45">
        <f>3.32-3.32</f>
        <v>0</v>
      </c>
      <c r="N359" s="31"/>
      <c r="O359" s="31"/>
    </row>
    <row r="360" spans="1:15" ht="39" customHeight="1">
      <c r="A360" s="43" t="s">
        <v>426</v>
      </c>
      <c r="B360" s="48" t="s">
        <v>76</v>
      </c>
      <c r="C360" s="48" t="s">
        <v>62</v>
      </c>
      <c r="D360" s="48" t="s">
        <v>427</v>
      </c>
      <c r="E360" s="48" t="s">
        <v>96</v>
      </c>
      <c r="F360" s="48"/>
      <c r="G360" s="51">
        <f t="shared" si="177"/>
        <v>1665</v>
      </c>
      <c r="H360" s="45">
        <f aca="true" t="shared" si="180" ref="H360:L362">H361</f>
        <v>0</v>
      </c>
      <c r="I360" s="45">
        <f t="shared" si="180"/>
        <v>0</v>
      </c>
      <c r="J360" s="45">
        <f t="shared" si="180"/>
        <v>0</v>
      </c>
      <c r="K360" s="51">
        <f t="shared" si="180"/>
        <v>1665</v>
      </c>
      <c r="L360" s="45">
        <f t="shared" si="180"/>
        <v>0</v>
      </c>
      <c r="M360" s="45">
        <v>0</v>
      </c>
      <c r="N360" s="31"/>
      <c r="O360" s="31"/>
    </row>
    <row r="361" spans="1:15" ht="15.75" customHeight="1">
      <c r="A361" s="41" t="s">
        <v>308</v>
      </c>
      <c r="B361" s="48" t="s">
        <v>76</v>
      </c>
      <c r="C361" s="48" t="s">
        <v>62</v>
      </c>
      <c r="D361" s="48" t="s">
        <v>427</v>
      </c>
      <c r="E361" s="48" t="s">
        <v>95</v>
      </c>
      <c r="F361" s="48" t="s">
        <v>48</v>
      </c>
      <c r="G361" s="51">
        <f t="shared" si="177"/>
        <v>1665</v>
      </c>
      <c r="H361" s="45">
        <f>9.9-9.9</f>
        <v>0</v>
      </c>
      <c r="I361" s="45">
        <v>0</v>
      </c>
      <c r="J361" s="45">
        <v>0</v>
      </c>
      <c r="K361" s="51">
        <v>1665</v>
      </c>
      <c r="L361" s="45">
        <v>0</v>
      </c>
      <c r="M361" s="45">
        <v>0</v>
      </c>
      <c r="N361" s="31"/>
      <c r="O361" s="31"/>
    </row>
    <row r="362" spans="1:15" ht="51.75" customHeight="1">
      <c r="A362" s="43" t="s">
        <v>428</v>
      </c>
      <c r="B362" s="48" t="s">
        <v>76</v>
      </c>
      <c r="C362" s="48" t="s">
        <v>62</v>
      </c>
      <c r="D362" s="48" t="s">
        <v>429</v>
      </c>
      <c r="E362" s="48" t="s">
        <v>96</v>
      </c>
      <c r="F362" s="48"/>
      <c r="G362" s="51">
        <f t="shared" si="177"/>
        <v>391</v>
      </c>
      <c r="H362" s="45">
        <f t="shared" si="180"/>
        <v>0</v>
      </c>
      <c r="I362" s="45">
        <f t="shared" si="180"/>
        <v>0</v>
      </c>
      <c r="J362" s="45">
        <f t="shared" si="180"/>
        <v>0</v>
      </c>
      <c r="K362" s="51">
        <f t="shared" si="180"/>
        <v>391</v>
      </c>
      <c r="L362" s="45">
        <f t="shared" si="180"/>
        <v>0</v>
      </c>
      <c r="M362" s="45"/>
      <c r="N362" s="31"/>
      <c r="O362" s="31"/>
    </row>
    <row r="363" spans="1:15" ht="15.75" customHeight="1">
      <c r="A363" s="41" t="s">
        <v>308</v>
      </c>
      <c r="B363" s="48" t="s">
        <v>76</v>
      </c>
      <c r="C363" s="48" t="s">
        <v>62</v>
      </c>
      <c r="D363" s="48" t="s">
        <v>429</v>
      </c>
      <c r="E363" s="48" t="s">
        <v>95</v>
      </c>
      <c r="F363" s="48" t="s">
        <v>48</v>
      </c>
      <c r="G363" s="51">
        <f t="shared" si="177"/>
        <v>391</v>
      </c>
      <c r="H363" s="45">
        <f>9.9-9.9</f>
        <v>0</v>
      </c>
      <c r="I363" s="45">
        <v>0</v>
      </c>
      <c r="J363" s="45">
        <v>0</v>
      </c>
      <c r="K363" s="51">
        <v>391</v>
      </c>
      <c r="L363" s="45">
        <v>0</v>
      </c>
      <c r="M363" s="45"/>
      <c r="N363" s="31"/>
      <c r="O363" s="31"/>
    </row>
    <row r="364" spans="1:15" ht="60" customHeight="1">
      <c r="A364" s="66" t="s">
        <v>430</v>
      </c>
      <c r="B364" s="63" t="s">
        <v>76</v>
      </c>
      <c r="C364" s="63" t="s">
        <v>62</v>
      </c>
      <c r="D364" s="63" t="s">
        <v>242</v>
      </c>
      <c r="E364" s="63" t="s">
        <v>96</v>
      </c>
      <c r="F364" s="63"/>
      <c r="G364" s="67">
        <f t="shared" si="177"/>
        <v>7221.999999999999</v>
      </c>
      <c r="H364" s="68">
        <f aca="true" t="shared" si="181" ref="H364:M368">H365</f>
        <v>0</v>
      </c>
      <c r="I364" s="68">
        <f t="shared" si="181"/>
        <v>0</v>
      </c>
      <c r="J364" s="69">
        <f t="shared" si="181"/>
        <v>7065.147689999999</v>
      </c>
      <c r="K364" s="69">
        <f t="shared" si="181"/>
        <v>156.85231</v>
      </c>
      <c r="L364" s="68">
        <f t="shared" si="181"/>
        <v>0</v>
      </c>
      <c r="M364" s="68">
        <f t="shared" si="181"/>
        <v>0</v>
      </c>
      <c r="N364" s="31"/>
      <c r="O364" s="31"/>
    </row>
    <row r="365" spans="1:15" ht="15.75" customHeight="1">
      <c r="A365" s="70" t="s">
        <v>308</v>
      </c>
      <c r="B365" s="48" t="s">
        <v>76</v>
      </c>
      <c r="C365" s="48" t="s">
        <v>62</v>
      </c>
      <c r="D365" s="48" t="s">
        <v>242</v>
      </c>
      <c r="E365" s="48" t="s">
        <v>95</v>
      </c>
      <c r="F365" s="48" t="s">
        <v>48</v>
      </c>
      <c r="G365" s="51">
        <f t="shared" si="177"/>
        <v>7221.999999999999</v>
      </c>
      <c r="H365" s="45">
        <f>47.82603-47.82603</f>
        <v>0</v>
      </c>
      <c r="I365" s="45">
        <v>0</v>
      </c>
      <c r="J365" s="50">
        <f>6356.8+129.7+341.4+19.7+374.4-156.85231</f>
        <v>7065.147689999999</v>
      </c>
      <c r="K365" s="50">
        <v>156.85231</v>
      </c>
      <c r="L365" s="45">
        <v>0</v>
      </c>
      <c r="M365" s="45">
        <v>0</v>
      </c>
      <c r="N365" s="31"/>
      <c r="O365" s="31"/>
    </row>
    <row r="366" spans="1:31" ht="51.75" customHeight="1">
      <c r="A366" s="89" t="s">
        <v>431</v>
      </c>
      <c r="B366" s="48" t="s">
        <v>76</v>
      </c>
      <c r="C366" s="48" t="s">
        <v>62</v>
      </c>
      <c r="D366" s="48" t="s">
        <v>432</v>
      </c>
      <c r="E366" s="48" t="s">
        <v>96</v>
      </c>
      <c r="F366" s="48"/>
      <c r="G366" s="51">
        <f t="shared" si="177"/>
        <v>1684.4</v>
      </c>
      <c r="H366" s="45">
        <f t="shared" si="181"/>
        <v>0</v>
      </c>
      <c r="I366" s="45">
        <f t="shared" si="181"/>
        <v>0</v>
      </c>
      <c r="J366" s="45">
        <f t="shared" si="181"/>
        <v>0</v>
      </c>
      <c r="K366" s="51">
        <f t="shared" si="181"/>
        <v>1684.4</v>
      </c>
      <c r="L366" s="45">
        <f t="shared" si="181"/>
        <v>0</v>
      </c>
      <c r="M366" s="45">
        <f t="shared" si="181"/>
        <v>0</v>
      </c>
      <c r="N366" s="31"/>
      <c r="O366" s="31"/>
      <c r="AD366" s="12"/>
      <c r="AE366" s="39">
        <f>G366+G368</f>
        <v>1773.0524</v>
      </c>
    </row>
    <row r="367" spans="1:15" ht="15.75" customHeight="1">
      <c r="A367" s="43" t="s">
        <v>273</v>
      </c>
      <c r="B367" s="48" t="s">
        <v>76</v>
      </c>
      <c r="C367" s="48" t="s">
        <v>62</v>
      </c>
      <c r="D367" s="48" t="s">
        <v>432</v>
      </c>
      <c r="E367" s="48" t="s">
        <v>95</v>
      </c>
      <c r="F367" s="48" t="s">
        <v>48</v>
      </c>
      <c r="G367" s="51">
        <f t="shared" si="177"/>
        <v>1684.4</v>
      </c>
      <c r="H367" s="45">
        <f>47.82603-47.82603</f>
        <v>0</v>
      </c>
      <c r="I367" s="45">
        <v>0</v>
      </c>
      <c r="J367" s="45">
        <f>1696.9-1696.9</f>
        <v>0</v>
      </c>
      <c r="K367" s="51">
        <f>1696.9-12.5</f>
        <v>1684.4</v>
      </c>
      <c r="L367" s="45">
        <v>0</v>
      </c>
      <c r="M367" s="45">
        <v>0</v>
      </c>
      <c r="N367" s="31"/>
      <c r="O367" s="31"/>
    </row>
    <row r="368" spans="1:15" ht="39" customHeight="1">
      <c r="A368" s="89" t="s">
        <v>431</v>
      </c>
      <c r="B368" s="48" t="s">
        <v>76</v>
      </c>
      <c r="C368" s="48" t="s">
        <v>62</v>
      </c>
      <c r="D368" s="48" t="s">
        <v>432</v>
      </c>
      <c r="E368" s="48" t="s">
        <v>96</v>
      </c>
      <c r="F368" s="48"/>
      <c r="G368" s="49">
        <f t="shared" si="177"/>
        <v>88.6524</v>
      </c>
      <c r="H368" s="45">
        <f t="shared" si="181"/>
        <v>0</v>
      </c>
      <c r="I368" s="45">
        <f t="shared" si="181"/>
        <v>0</v>
      </c>
      <c r="J368" s="45">
        <f t="shared" si="181"/>
        <v>0</v>
      </c>
      <c r="K368" s="49">
        <f t="shared" si="181"/>
        <v>88.6524</v>
      </c>
      <c r="L368" s="45">
        <f t="shared" si="181"/>
        <v>0</v>
      </c>
      <c r="M368" s="45">
        <f t="shared" si="181"/>
        <v>0</v>
      </c>
      <c r="N368" s="31"/>
      <c r="O368" s="31"/>
    </row>
    <row r="369" spans="1:15" ht="15.75" customHeight="1">
      <c r="A369" s="43" t="s">
        <v>273</v>
      </c>
      <c r="B369" s="48" t="s">
        <v>76</v>
      </c>
      <c r="C369" s="48" t="s">
        <v>62</v>
      </c>
      <c r="D369" s="48" t="s">
        <v>432</v>
      </c>
      <c r="E369" s="48" t="s">
        <v>95</v>
      </c>
      <c r="F369" s="48" t="s">
        <v>48</v>
      </c>
      <c r="G369" s="49">
        <f t="shared" si="177"/>
        <v>88.6524</v>
      </c>
      <c r="H369" s="45">
        <f>47.82603-47.82603</f>
        <v>0</v>
      </c>
      <c r="I369" s="45">
        <v>0</v>
      </c>
      <c r="J369" s="45">
        <f>89.311-89.311</f>
        <v>0</v>
      </c>
      <c r="K369" s="49">
        <f>89.311-0.6586</f>
        <v>88.6524</v>
      </c>
      <c r="L369" s="45">
        <v>0</v>
      </c>
      <c r="M369" s="45">
        <v>0</v>
      </c>
      <c r="N369" s="31"/>
      <c r="O369" s="31"/>
    </row>
    <row r="370" spans="1:15" ht="15.75" customHeight="1">
      <c r="A370" s="62" t="s">
        <v>433</v>
      </c>
      <c r="B370" s="55" t="s">
        <v>76</v>
      </c>
      <c r="C370" s="55" t="s">
        <v>62</v>
      </c>
      <c r="D370" s="55" t="s">
        <v>434</v>
      </c>
      <c r="E370" s="55" t="s">
        <v>59</v>
      </c>
      <c r="F370" s="48"/>
      <c r="G370" s="59">
        <f aca="true" t="shared" si="182" ref="G370:G377">H370+I370+J370+K370</f>
        <v>7007.896699999999</v>
      </c>
      <c r="H370" s="60">
        <f aca="true" t="shared" si="183" ref="H370:M370">H374+H376+H371</f>
        <v>0</v>
      </c>
      <c r="I370" s="56">
        <f t="shared" si="183"/>
        <v>3299.40153</v>
      </c>
      <c r="J370" s="56">
        <f t="shared" si="183"/>
        <v>586.12364</v>
      </c>
      <c r="K370" s="56">
        <f t="shared" si="183"/>
        <v>3122.37153</v>
      </c>
      <c r="L370" s="58">
        <f t="shared" si="183"/>
        <v>3947.1</v>
      </c>
      <c r="M370" s="58">
        <f t="shared" si="183"/>
        <v>5454.2</v>
      </c>
      <c r="N370" s="31"/>
      <c r="O370" s="31"/>
    </row>
    <row r="371" spans="1:15" ht="15.75" customHeight="1">
      <c r="A371" s="65" t="s">
        <v>435</v>
      </c>
      <c r="B371" s="48" t="s">
        <v>76</v>
      </c>
      <c r="C371" s="48" t="s">
        <v>62</v>
      </c>
      <c r="D371" s="48" t="s">
        <v>436</v>
      </c>
      <c r="E371" s="48" t="s">
        <v>125</v>
      </c>
      <c r="F371" s="48"/>
      <c r="G371" s="50">
        <f>H371+I371+J371+K371</f>
        <v>1003.6115199999998</v>
      </c>
      <c r="H371" s="45">
        <f aca="true" t="shared" si="184" ref="H371:M371">H372+H373</f>
        <v>0</v>
      </c>
      <c r="I371" s="45">
        <f t="shared" si="184"/>
        <v>0</v>
      </c>
      <c r="J371" s="45">
        <f t="shared" si="184"/>
        <v>0</v>
      </c>
      <c r="K371" s="50">
        <f t="shared" si="184"/>
        <v>1003.6115199999998</v>
      </c>
      <c r="L371" s="51">
        <f t="shared" si="184"/>
        <v>3947.1</v>
      </c>
      <c r="M371" s="51">
        <f t="shared" si="184"/>
        <v>5454.2</v>
      </c>
      <c r="N371" s="31"/>
      <c r="O371" s="31"/>
    </row>
    <row r="372" spans="1:15" ht="15.75" customHeight="1">
      <c r="A372" s="65" t="s">
        <v>437</v>
      </c>
      <c r="B372" s="48" t="s">
        <v>76</v>
      </c>
      <c r="C372" s="48" t="s">
        <v>62</v>
      </c>
      <c r="D372" s="48" t="s">
        <v>436</v>
      </c>
      <c r="E372" s="48" t="s">
        <v>95</v>
      </c>
      <c r="F372" s="48" t="s">
        <v>188</v>
      </c>
      <c r="G372" s="50">
        <f>H372+I372+J372+K372</f>
        <v>354.1755199999999</v>
      </c>
      <c r="H372" s="45">
        <f>47.82603-47.82603</f>
        <v>0</v>
      </c>
      <c r="I372" s="45">
        <f>792.79646-792.79646</f>
        <v>0</v>
      </c>
      <c r="J372" s="45">
        <f>792.79646-486.39646-306.4</f>
        <v>0</v>
      </c>
      <c r="K372" s="50">
        <f>306.4-245.711+942.92252-397.7788-251.6572</f>
        <v>354.1755199999999</v>
      </c>
      <c r="L372" s="51">
        <f>5244.7-1297.6</f>
        <v>3947.1</v>
      </c>
      <c r="M372" s="51">
        <v>5454.2</v>
      </c>
      <c r="N372" s="31"/>
      <c r="O372" s="31"/>
    </row>
    <row r="373" spans="1:15" ht="15.75" customHeight="1">
      <c r="A373" s="43" t="s">
        <v>273</v>
      </c>
      <c r="B373" s="48" t="s">
        <v>76</v>
      </c>
      <c r="C373" s="48" t="s">
        <v>62</v>
      </c>
      <c r="D373" s="48" t="s">
        <v>436</v>
      </c>
      <c r="E373" s="48" t="s">
        <v>95</v>
      </c>
      <c r="F373" s="48" t="s">
        <v>48</v>
      </c>
      <c r="G373" s="53">
        <f>H373+I373+J373+K373</f>
        <v>649.4359999999999</v>
      </c>
      <c r="H373" s="45">
        <v>0</v>
      </c>
      <c r="I373" s="45">
        <v>0</v>
      </c>
      <c r="J373" s="45">
        <v>0</v>
      </c>
      <c r="K373" s="53">
        <f>397.7788+251.6572</f>
        <v>649.4359999999999</v>
      </c>
      <c r="L373" s="45">
        <v>0</v>
      </c>
      <c r="M373" s="45">
        <v>0</v>
      </c>
      <c r="N373" s="31"/>
      <c r="O373" s="31"/>
    </row>
    <row r="374" spans="1:15" ht="48" customHeight="1">
      <c r="A374" s="65" t="s">
        <v>435</v>
      </c>
      <c r="B374" s="48" t="s">
        <v>76</v>
      </c>
      <c r="C374" s="48" t="s">
        <v>62</v>
      </c>
      <c r="D374" s="48" t="s">
        <v>436</v>
      </c>
      <c r="E374" s="48" t="s">
        <v>125</v>
      </c>
      <c r="F374" s="48"/>
      <c r="G374" s="50">
        <f t="shared" si="182"/>
        <v>5200.038820000001</v>
      </c>
      <c r="H374" s="45">
        <f aca="true" t="shared" si="185" ref="H374:M374">H375</f>
        <v>0</v>
      </c>
      <c r="I374" s="50">
        <f t="shared" si="185"/>
        <v>2695.15153</v>
      </c>
      <c r="J374" s="50">
        <f t="shared" si="185"/>
        <v>486.12726</v>
      </c>
      <c r="K374" s="50">
        <f t="shared" si="185"/>
        <v>2018.7600300000001</v>
      </c>
      <c r="L374" s="45">
        <f t="shared" si="185"/>
        <v>0</v>
      </c>
      <c r="M374" s="45">
        <f t="shared" si="185"/>
        <v>0</v>
      </c>
      <c r="N374" s="31"/>
      <c r="O374" s="31"/>
    </row>
    <row r="375" spans="1:15" ht="15.75" customHeight="1">
      <c r="A375" s="65" t="s">
        <v>437</v>
      </c>
      <c r="B375" s="48" t="s">
        <v>76</v>
      </c>
      <c r="C375" s="48" t="s">
        <v>62</v>
      </c>
      <c r="D375" s="48" t="s">
        <v>436</v>
      </c>
      <c r="E375" s="48" t="s">
        <v>347</v>
      </c>
      <c r="F375" s="48" t="s">
        <v>188</v>
      </c>
      <c r="G375" s="50">
        <f t="shared" si="182"/>
        <v>5200.038820000001</v>
      </c>
      <c r="H375" s="45">
        <f>47.82603-47.82603</f>
        <v>0</v>
      </c>
      <c r="I375" s="50">
        <f>2990.9-295.74847</f>
        <v>2695.15153</v>
      </c>
      <c r="J375" s="50">
        <f>486.39646+286.8468-287.116</f>
        <v>486.12726</v>
      </c>
      <c r="K375" s="50">
        <f>1026.9-792.79646-190.64799+287.116+145.711+892.47748+650</f>
        <v>2018.7600300000001</v>
      </c>
      <c r="L375" s="45">
        <v>0</v>
      </c>
      <c r="M375" s="45">
        <v>0</v>
      </c>
      <c r="N375" s="31"/>
      <c r="O375" s="31"/>
    </row>
    <row r="376" spans="1:15" ht="29.25" customHeight="1">
      <c r="A376" s="65" t="s">
        <v>195</v>
      </c>
      <c r="B376" s="48" t="s">
        <v>76</v>
      </c>
      <c r="C376" s="48" t="s">
        <v>62</v>
      </c>
      <c r="D376" s="48" t="s">
        <v>438</v>
      </c>
      <c r="E376" s="48" t="s">
        <v>95</v>
      </c>
      <c r="F376" s="48"/>
      <c r="G376" s="50">
        <f>H376+I376+J376+K376</f>
        <v>804.2463600000001</v>
      </c>
      <c r="H376" s="45">
        <f aca="true" t="shared" si="186" ref="H376:M376">H377+H378</f>
        <v>0</v>
      </c>
      <c r="I376" s="51">
        <f t="shared" si="186"/>
        <v>604.25</v>
      </c>
      <c r="J376" s="50">
        <f t="shared" si="186"/>
        <v>99.99638</v>
      </c>
      <c r="K376" s="50">
        <f t="shared" si="186"/>
        <v>99.99998</v>
      </c>
      <c r="L376" s="45">
        <f t="shared" si="186"/>
        <v>0</v>
      </c>
      <c r="M376" s="45">
        <f t="shared" si="186"/>
        <v>0</v>
      </c>
      <c r="N376" s="31"/>
      <c r="O376" s="31"/>
    </row>
    <row r="377" spans="1:15" ht="15.75" customHeight="1">
      <c r="A377" s="41" t="s">
        <v>308</v>
      </c>
      <c r="B377" s="48" t="s">
        <v>76</v>
      </c>
      <c r="C377" s="48" t="s">
        <v>62</v>
      </c>
      <c r="D377" s="48" t="s">
        <v>438</v>
      </c>
      <c r="E377" s="48" t="s">
        <v>95</v>
      </c>
      <c r="F377" s="48" t="s">
        <v>48</v>
      </c>
      <c r="G377" s="50">
        <f t="shared" si="182"/>
        <v>699.9963600000001</v>
      </c>
      <c r="H377" s="45">
        <f>47.82603-47.82603</f>
        <v>0</v>
      </c>
      <c r="I377" s="51">
        <v>500</v>
      </c>
      <c r="J377" s="50">
        <f>100-0.00362</f>
        <v>99.99638</v>
      </c>
      <c r="K377" s="50">
        <f>0.00362+100-0.00364</f>
        <v>99.99998</v>
      </c>
      <c r="L377" s="45">
        <v>0</v>
      </c>
      <c r="M377" s="45">
        <v>0</v>
      </c>
      <c r="N377" s="31"/>
      <c r="O377" s="31"/>
    </row>
    <row r="378" spans="1:15" ht="42" customHeight="1">
      <c r="A378" s="79" t="s">
        <v>305</v>
      </c>
      <c r="B378" s="48" t="s">
        <v>76</v>
      </c>
      <c r="C378" s="48" t="s">
        <v>62</v>
      </c>
      <c r="D378" s="48" t="s">
        <v>438</v>
      </c>
      <c r="E378" s="48" t="s">
        <v>95</v>
      </c>
      <c r="F378" s="48" t="s">
        <v>49</v>
      </c>
      <c r="G378" s="51">
        <f>H378+I378+J378+K378</f>
        <v>104.25</v>
      </c>
      <c r="H378" s="45">
        <f>47.82603-47.82603</f>
        <v>0</v>
      </c>
      <c r="I378" s="51">
        <v>104.25</v>
      </c>
      <c r="J378" s="45">
        <v>0</v>
      </c>
      <c r="K378" s="45">
        <v>0</v>
      </c>
      <c r="L378" s="45">
        <v>0</v>
      </c>
      <c r="M378" s="45">
        <v>0</v>
      </c>
      <c r="N378" s="31"/>
      <c r="O378" s="31"/>
    </row>
    <row r="379" spans="1:15" ht="18" customHeight="1">
      <c r="A379" s="62" t="s">
        <v>124</v>
      </c>
      <c r="B379" s="55" t="s">
        <v>76</v>
      </c>
      <c r="C379" s="55" t="s">
        <v>77</v>
      </c>
      <c r="D379" s="55" t="s">
        <v>151</v>
      </c>
      <c r="E379" s="55" t="s">
        <v>59</v>
      </c>
      <c r="F379" s="55"/>
      <c r="G379" s="58">
        <f aca="true" t="shared" si="187" ref="G379:G384">H379+I379+J379+K379</f>
        <v>1838.2999999999997</v>
      </c>
      <c r="H379" s="56">
        <f aca="true" t="shared" si="188" ref="H379:K381">H380</f>
        <v>331.31115</v>
      </c>
      <c r="I379" s="56">
        <f t="shared" si="188"/>
        <v>423.25729999999993</v>
      </c>
      <c r="J379" s="56">
        <f t="shared" si="188"/>
        <v>541.35192</v>
      </c>
      <c r="K379" s="56">
        <f t="shared" si="188"/>
        <v>542.37963</v>
      </c>
      <c r="L379" s="58">
        <f aca="true" t="shared" si="189" ref="L379:M381">L380</f>
        <v>1791</v>
      </c>
      <c r="M379" s="58">
        <f t="shared" si="189"/>
        <v>1791</v>
      </c>
      <c r="N379" s="31"/>
      <c r="O379" s="31"/>
    </row>
    <row r="380" spans="1:15" ht="90" customHeight="1">
      <c r="A380" s="62" t="s">
        <v>283</v>
      </c>
      <c r="B380" s="55" t="s">
        <v>76</v>
      </c>
      <c r="C380" s="55" t="s">
        <v>77</v>
      </c>
      <c r="D380" s="55" t="s">
        <v>319</v>
      </c>
      <c r="E380" s="55" t="s">
        <v>59</v>
      </c>
      <c r="F380" s="48"/>
      <c r="G380" s="58">
        <f t="shared" si="187"/>
        <v>1838.2999999999997</v>
      </c>
      <c r="H380" s="56">
        <f t="shared" si="188"/>
        <v>331.31115</v>
      </c>
      <c r="I380" s="56">
        <f t="shared" si="188"/>
        <v>423.25729999999993</v>
      </c>
      <c r="J380" s="56">
        <f t="shared" si="188"/>
        <v>541.35192</v>
      </c>
      <c r="K380" s="56">
        <f t="shared" si="188"/>
        <v>542.37963</v>
      </c>
      <c r="L380" s="58">
        <f t="shared" si="189"/>
        <v>1791</v>
      </c>
      <c r="M380" s="58">
        <f t="shared" si="189"/>
        <v>1791</v>
      </c>
      <c r="N380" s="31"/>
      <c r="O380" s="31"/>
    </row>
    <row r="381" spans="1:36" s="34" customFormat="1" ht="102" customHeight="1">
      <c r="A381" s="62" t="s">
        <v>283</v>
      </c>
      <c r="B381" s="55" t="s">
        <v>76</v>
      </c>
      <c r="C381" s="55" t="s">
        <v>77</v>
      </c>
      <c r="D381" s="55" t="s">
        <v>319</v>
      </c>
      <c r="E381" s="55" t="s">
        <v>59</v>
      </c>
      <c r="F381" s="48"/>
      <c r="G381" s="58">
        <f t="shared" si="187"/>
        <v>1838.2999999999997</v>
      </c>
      <c r="H381" s="56">
        <f t="shared" si="188"/>
        <v>331.31115</v>
      </c>
      <c r="I381" s="56">
        <f t="shared" si="188"/>
        <v>423.25729999999993</v>
      </c>
      <c r="J381" s="56">
        <f t="shared" si="188"/>
        <v>541.35192</v>
      </c>
      <c r="K381" s="56">
        <f t="shared" si="188"/>
        <v>542.37963</v>
      </c>
      <c r="L381" s="58">
        <f t="shared" si="189"/>
        <v>1791</v>
      </c>
      <c r="M381" s="58">
        <f t="shared" si="189"/>
        <v>1791</v>
      </c>
      <c r="N381" s="19"/>
      <c r="O381" s="19"/>
      <c r="AJ381" s="44">
        <f>H382+I382+J382</f>
        <v>1295.9203699999998</v>
      </c>
    </row>
    <row r="382" spans="1:15" ht="42.75" customHeight="1">
      <c r="A382" s="43" t="s">
        <v>155</v>
      </c>
      <c r="B382" s="48" t="s">
        <v>76</v>
      </c>
      <c r="C382" s="48" t="s">
        <v>77</v>
      </c>
      <c r="D382" s="48" t="s">
        <v>156</v>
      </c>
      <c r="E382" s="48" t="s">
        <v>99</v>
      </c>
      <c r="F382" s="48" t="s">
        <v>39</v>
      </c>
      <c r="G382" s="51">
        <f t="shared" si="187"/>
        <v>1838.2999999999997</v>
      </c>
      <c r="H382" s="50">
        <f aca="true" t="shared" si="190" ref="H382:M382">H383+H384</f>
        <v>331.31115</v>
      </c>
      <c r="I382" s="50">
        <f t="shared" si="190"/>
        <v>423.25729999999993</v>
      </c>
      <c r="J382" s="50">
        <f t="shared" si="190"/>
        <v>541.35192</v>
      </c>
      <c r="K382" s="50">
        <f t="shared" si="190"/>
        <v>542.37963</v>
      </c>
      <c r="L382" s="51">
        <f t="shared" si="190"/>
        <v>1791</v>
      </c>
      <c r="M382" s="51">
        <f t="shared" si="190"/>
        <v>1791</v>
      </c>
      <c r="N382" s="31"/>
      <c r="O382" s="31"/>
    </row>
    <row r="383" spans="1:15" ht="12.75" customHeight="1">
      <c r="A383" s="41" t="s">
        <v>16</v>
      </c>
      <c r="B383" s="48" t="s">
        <v>76</v>
      </c>
      <c r="C383" s="48" t="s">
        <v>77</v>
      </c>
      <c r="D383" s="48" t="s">
        <v>156</v>
      </c>
      <c r="E383" s="48" t="s">
        <v>100</v>
      </c>
      <c r="F383" s="48" t="s">
        <v>40</v>
      </c>
      <c r="G383" s="50">
        <f t="shared" si="187"/>
        <v>1419.38967</v>
      </c>
      <c r="H383" s="50">
        <f>275.1-4.51178</f>
        <v>270.58822000000004</v>
      </c>
      <c r="I383" s="50">
        <f>343.9+4.51178-26.33951</f>
        <v>322.07226999999995</v>
      </c>
      <c r="J383" s="50">
        <f>343.9+26.33951+57.92447</f>
        <v>428.16398</v>
      </c>
      <c r="K383" s="50">
        <f>412.7-57.92447+36.3+7.48967</f>
        <v>398.5652</v>
      </c>
      <c r="L383" s="51">
        <v>1375.6</v>
      </c>
      <c r="M383" s="51">
        <v>1375.6</v>
      </c>
      <c r="N383" s="31"/>
      <c r="O383" s="31"/>
    </row>
    <row r="384" spans="1:15" ht="13.5" customHeight="1">
      <c r="A384" s="41" t="s">
        <v>18</v>
      </c>
      <c r="B384" s="48" t="s">
        <v>76</v>
      </c>
      <c r="C384" s="48" t="s">
        <v>77</v>
      </c>
      <c r="D384" s="48" t="s">
        <v>156</v>
      </c>
      <c r="E384" s="48" t="s">
        <v>205</v>
      </c>
      <c r="F384" s="48" t="s">
        <v>42</v>
      </c>
      <c r="G384" s="50">
        <f t="shared" si="187"/>
        <v>418.91033</v>
      </c>
      <c r="H384" s="50">
        <f>83.1-22.37707</f>
        <v>60.72292999999999</v>
      </c>
      <c r="I384" s="50">
        <f>103.8+22.37707-24.99204</f>
        <v>101.18503</v>
      </c>
      <c r="J384" s="50">
        <f>103.8+24.99204-15.6041</f>
        <v>113.18793999999998</v>
      </c>
      <c r="K384" s="50">
        <f>124.7+15.6041+11-7.48967</f>
        <v>143.81443000000002</v>
      </c>
      <c r="L384" s="51">
        <v>415.4</v>
      </c>
      <c r="M384" s="51">
        <v>415.4</v>
      </c>
      <c r="N384" s="31"/>
      <c r="O384" s="31"/>
    </row>
    <row r="385" spans="1:26" ht="13.5" customHeight="1" hidden="1">
      <c r="A385" s="42" t="s">
        <v>196</v>
      </c>
      <c r="B385" s="55" t="s">
        <v>76</v>
      </c>
      <c r="C385" s="55" t="s">
        <v>197</v>
      </c>
      <c r="D385" s="55" t="s">
        <v>151</v>
      </c>
      <c r="E385" s="55" t="s">
        <v>59</v>
      </c>
      <c r="F385" s="55"/>
      <c r="G385" s="56">
        <f>H385+I385+J385+K385</f>
        <v>0</v>
      </c>
      <c r="H385" s="56">
        <f aca="true" t="shared" si="191" ref="H385:K386">H386</f>
        <v>0</v>
      </c>
      <c r="I385" s="56">
        <f t="shared" si="191"/>
        <v>0</v>
      </c>
      <c r="J385" s="56">
        <f t="shared" si="191"/>
        <v>0</v>
      </c>
      <c r="K385" s="56">
        <f t="shared" si="191"/>
        <v>0</v>
      </c>
      <c r="L385" s="56">
        <f>L386</f>
        <v>0</v>
      </c>
      <c r="M385" s="56">
        <f>M386</f>
        <v>0</v>
      </c>
      <c r="N385" s="31"/>
      <c r="O385" s="31"/>
      <c r="Z385" s="12">
        <f>G385</f>
        <v>0</v>
      </c>
    </row>
    <row r="386" spans="1:15" ht="44.25" customHeight="1" hidden="1">
      <c r="A386" s="62" t="s">
        <v>198</v>
      </c>
      <c r="B386" s="55" t="s">
        <v>76</v>
      </c>
      <c r="C386" s="55" t="s">
        <v>199</v>
      </c>
      <c r="D386" s="55" t="s">
        <v>200</v>
      </c>
      <c r="E386" s="55" t="s">
        <v>125</v>
      </c>
      <c r="F386" s="55"/>
      <c r="G386" s="56">
        <f>H386+I386+J386+K386</f>
        <v>0</v>
      </c>
      <c r="H386" s="56">
        <f t="shared" si="191"/>
        <v>0</v>
      </c>
      <c r="I386" s="56">
        <f t="shared" si="191"/>
        <v>0</v>
      </c>
      <c r="J386" s="56">
        <f t="shared" si="191"/>
        <v>0</v>
      </c>
      <c r="K386" s="56">
        <f t="shared" si="191"/>
        <v>0</v>
      </c>
      <c r="L386" s="56">
        <f>L387</f>
        <v>0</v>
      </c>
      <c r="M386" s="56">
        <f>M387</f>
        <v>0</v>
      </c>
      <c r="N386" s="31"/>
      <c r="O386" s="31"/>
    </row>
    <row r="387" spans="1:15" ht="21.75" customHeight="1" hidden="1">
      <c r="A387" s="43" t="s">
        <v>126</v>
      </c>
      <c r="B387" s="48" t="s">
        <v>76</v>
      </c>
      <c r="C387" s="48" t="s">
        <v>199</v>
      </c>
      <c r="D387" s="48" t="s">
        <v>200</v>
      </c>
      <c r="E387" s="48" t="s">
        <v>95</v>
      </c>
      <c r="F387" s="48" t="s">
        <v>48</v>
      </c>
      <c r="G387" s="50">
        <f>H387+I387+J387+K387</f>
        <v>0</v>
      </c>
      <c r="H387" s="50"/>
      <c r="I387" s="50"/>
      <c r="J387" s="50"/>
      <c r="K387" s="50"/>
      <c r="L387" s="50"/>
      <c r="M387" s="50"/>
      <c r="N387" s="31"/>
      <c r="O387" s="31"/>
    </row>
    <row r="388" spans="1:26" ht="29.25" customHeight="1">
      <c r="A388" s="62" t="s">
        <v>282</v>
      </c>
      <c r="B388" s="55" t="s">
        <v>76</v>
      </c>
      <c r="C388" s="55" t="s">
        <v>68</v>
      </c>
      <c r="D388" s="55" t="s">
        <v>439</v>
      </c>
      <c r="E388" s="55" t="s">
        <v>125</v>
      </c>
      <c r="F388" s="55"/>
      <c r="G388" s="56">
        <f>G389</f>
        <v>34.69627</v>
      </c>
      <c r="H388" s="60">
        <f aca="true" t="shared" si="192" ref="H388:W389">H389</f>
        <v>0</v>
      </c>
      <c r="I388" s="60">
        <f t="shared" si="192"/>
        <v>0</v>
      </c>
      <c r="J388" s="60">
        <f t="shared" si="192"/>
        <v>0</v>
      </c>
      <c r="K388" s="56">
        <f t="shared" si="192"/>
        <v>34.69627</v>
      </c>
      <c r="L388" s="58">
        <f>L389</f>
        <v>154</v>
      </c>
      <c r="M388" s="58">
        <f>M389</f>
        <v>154</v>
      </c>
      <c r="N388" s="31"/>
      <c r="O388" s="31"/>
      <c r="Z388" s="12">
        <f>G388</f>
        <v>34.69627</v>
      </c>
    </row>
    <row r="389" spans="1:38" ht="51" customHeight="1">
      <c r="A389" s="43" t="s">
        <v>329</v>
      </c>
      <c r="B389" s="48" t="s">
        <v>76</v>
      </c>
      <c r="C389" s="48" t="s">
        <v>68</v>
      </c>
      <c r="D389" s="48" t="s">
        <v>181</v>
      </c>
      <c r="E389" s="48" t="s">
        <v>96</v>
      </c>
      <c r="F389" s="55"/>
      <c r="G389" s="50">
        <f>H389+I389+J389+K389</f>
        <v>34.69627</v>
      </c>
      <c r="H389" s="45">
        <f>H390</f>
        <v>0</v>
      </c>
      <c r="I389" s="45">
        <f t="shared" si="192"/>
        <v>0</v>
      </c>
      <c r="J389" s="45">
        <f t="shared" si="192"/>
        <v>0</v>
      </c>
      <c r="K389" s="45">
        <f t="shared" si="192"/>
        <v>34.69627</v>
      </c>
      <c r="L389" s="45">
        <f t="shared" si="192"/>
        <v>154</v>
      </c>
      <c r="M389" s="45">
        <f t="shared" si="192"/>
        <v>154</v>
      </c>
      <c r="N389" s="45">
        <f t="shared" si="192"/>
        <v>0</v>
      </c>
      <c r="O389" s="45">
        <f t="shared" si="192"/>
        <v>0</v>
      </c>
      <c r="P389" s="45">
        <f t="shared" si="192"/>
        <v>0</v>
      </c>
      <c r="Q389" s="45">
        <f t="shared" si="192"/>
        <v>0</v>
      </c>
      <c r="R389" s="45">
        <f t="shared" si="192"/>
        <v>0</v>
      </c>
      <c r="S389" s="45">
        <f t="shared" si="192"/>
        <v>0</v>
      </c>
      <c r="T389" s="45">
        <f t="shared" si="192"/>
        <v>0</v>
      </c>
      <c r="U389" s="45">
        <f t="shared" si="192"/>
        <v>0</v>
      </c>
      <c r="V389" s="45">
        <f t="shared" si="192"/>
        <v>0</v>
      </c>
      <c r="W389" s="45">
        <f t="shared" si="192"/>
        <v>0</v>
      </c>
      <c r="X389" s="45">
        <f aca="true" t="shared" si="193" ref="X389:AL389">X390</f>
        <v>0</v>
      </c>
      <c r="Y389" s="45">
        <f t="shared" si="193"/>
        <v>0</v>
      </c>
      <c r="Z389" s="45">
        <f t="shared" si="193"/>
        <v>0</v>
      </c>
      <c r="AA389" s="45">
        <f t="shared" si="193"/>
        <v>0</v>
      </c>
      <c r="AB389" s="45">
        <f t="shared" si="193"/>
        <v>0</v>
      </c>
      <c r="AC389" s="45">
        <f t="shared" si="193"/>
        <v>0</v>
      </c>
      <c r="AD389" s="45">
        <f t="shared" si="193"/>
        <v>0</v>
      </c>
      <c r="AE389" s="45">
        <f t="shared" si="193"/>
        <v>0</v>
      </c>
      <c r="AF389" s="45">
        <f t="shared" si="193"/>
        <v>0</v>
      </c>
      <c r="AG389" s="45">
        <f t="shared" si="193"/>
        <v>0</v>
      </c>
      <c r="AH389" s="45">
        <f t="shared" si="193"/>
        <v>0</v>
      </c>
      <c r="AI389" s="45">
        <f t="shared" si="193"/>
        <v>0</v>
      </c>
      <c r="AJ389" s="45">
        <f t="shared" si="193"/>
        <v>0</v>
      </c>
      <c r="AK389" s="45">
        <f t="shared" si="193"/>
        <v>0</v>
      </c>
      <c r="AL389" s="45">
        <f t="shared" si="193"/>
        <v>0</v>
      </c>
    </row>
    <row r="390" spans="1:38" ht="39" customHeight="1">
      <c r="A390" s="43" t="s">
        <v>329</v>
      </c>
      <c r="B390" s="90" t="s">
        <v>76</v>
      </c>
      <c r="C390" s="90" t="s">
        <v>68</v>
      </c>
      <c r="D390" s="90" t="s">
        <v>181</v>
      </c>
      <c r="E390" s="90" t="s">
        <v>96</v>
      </c>
      <c r="F390" s="91"/>
      <c r="G390" s="99">
        <f>H390+I390+J390+K390</f>
        <v>34.69627</v>
      </c>
      <c r="H390" s="100">
        <f>H391</f>
        <v>0</v>
      </c>
      <c r="I390" s="100">
        <f aca="true" t="shared" si="194" ref="I390:AL390">I391</f>
        <v>0</v>
      </c>
      <c r="J390" s="100">
        <f t="shared" si="194"/>
        <v>0</v>
      </c>
      <c r="K390" s="99">
        <f t="shared" si="194"/>
        <v>34.69627</v>
      </c>
      <c r="L390" s="101">
        <f t="shared" si="194"/>
        <v>154</v>
      </c>
      <c r="M390" s="101">
        <f t="shared" si="194"/>
        <v>154</v>
      </c>
      <c r="N390" s="30">
        <f t="shared" si="194"/>
        <v>0</v>
      </c>
      <c r="O390" s="30">
        <f t="shared" si="194"/>
        <v>0</v>
      </c>
      <c r="P390" s="30">
        <f t="shared" si="194"/>
        <v>0</v>
      </c>
      <c r="Q390" s="30">
        <f t="shared" si="194"/>
        <v>0</v>
      </c>
      <c r="R390" s="30">
        <f t="shared" si="194"/>
        <v>0</v>
      </c>
      <c r="S390" s="30">
        <f t="shared" si="194"/>
        <v>0</v>
      </c>
      <c r="T390" s="30">
        <f t="shared" si="194"/>
        <v>0</v>
      </c>
      <c r="U390" s="30">
        <f t="shared" si="194"/>
        <v>0</v>
      </c>
      <c r="V390" s="30">
        <f t="shared" si="194"/>
        <v>0</v>
      </c>
      <c r="W390" s="30">
        <f t="shared" si="194"/>
        <v>0</v>
      </c>
      <c r="X390" s="30">
        <f t="shared" si="194"/>
        <v>0</v>
      </c>
      <c r="Y390" s="30">
        <f t="shared" si="194"/>
        <v>0</v>
      </c>
      <c r="Z390" s="30">
        <f t="shared" si="194"/>
        <v>0</v>
      </c>
      <c r="AA390" s="30">
        <f t="shared" si="194"/>
        <v>0</v>
      </c>
      <c r="AB390" s="30">
        <f t="shared" si="194"/>
        <v>0</v>
      </c>
      <c r="AC390" s="30">
        <f t="shared" si="194"/>
        <v>0</v>
      </c>
      <c r="AD390" s="30">
        <f t="shared" si="194"/>
        <v>0</v>
      </c>
      <c r="AE390" s="30">
        <f t="shared" si="194"/>
        <v>0</v>
      </c>
      <c r="AF390" s="30">
        <f t="shared" si="194"/>
        <v>0</v>
      </c>
      <c r="AG390" s="30">
        <f t="shared" si="194"/>
        <v>0</v>
      </c>
      <c r="AH390" s="30">
        <f t="shared" si="194"/>
        <v>0</v>
      </c>
      <c r="AI390" s="30">
        <f t="shared" si="194"/>
        <v>0</v>
      </c>
      <c r="AJ390" s="30">
        <f t="shared" si="194"/>
        <v>0</v>
      </c>
      <c r="AK390" s="30">
        <f t="shared" si="194"/>
        <v>0</v>
      </c>
      <c r="AL390" s="30">
        <f t="shared" si="194"/>
        <v>0</v>
      </c>
    </row>
    <row r="391" spans="1:15" ht="12.75" customHeight="1">
      <c r="A391" s="43" t="s">
        <v>84</v>
      </c>
      <c r="B391" s="48" t="s">
        <v>76</v>
      </c>
      <c r="C391" s="48" t="s">
        <v>68</v>
      </c>
      <c r="D391" s="48" t="s">
        <v>181</v>
      </c>
      <c r="E391" s="48" t="s">
        <v>95</v>
      </c>
      <c r="F391" s="48" t="s">
        <v>340</v>
      </c>
      <c r="G391" s="50">
        <f>H391+I391+J391+K391</f>
        <v>34.69627</v>
      </c>
      <c r="H391" s="45">
        <f>38.5-38.5</f>
        <v>0</v>
      </c>
      <c r="I391" s="45">
        <f>38.5+38.5-77</f>
        <v>0</v>
      </c>
      <c r="J391" s="45">
        <f>38.5-23-15.5</f>
        <v>0</v>
      </c>
      <c r="K391" s="50">
        <f>38.5+15.5-19.30373</f>
        <v>34.69627</v>
      </c>
      <c r="L391" s="51">
        <v>154</v>
      </c>
      <c r="M391" s="51">
        <v>154</v>
      </c>
      <c r="N391" s="31"/>
      <c r="O391" s="31"/>
    </row>
    <row r="392" spans="1:15" ht="15.75" customHeight="1">
      <c r="A392" s="62" t="s">
        <v>69</v>
      </c>
      <c r="B392" s="55"/>
      <c r="C392" s="55"/>
      <c r="D392" s="55"/>
      <c r="E392" s="55"/>
      <c r="F392" s="55"/>
      <c r="G392" s="56">
        <f>SUM(H392:K392)</f>
        <v>22414.402759999997</v>
      </c>
      <c r="H392" s="56">
        <f aca="true" t="shared" si="195" ref="H392:M392">H393+H397+H408+H409</f>
        <v>5539.666360000001</v>
      </c>
      <c r="I392" s="56">
        <f t="shared" si="195"/>
        <v>3439.37598</v>
      </c>
      <c r="J392" s="56">
        <f t="shared" si="195"/>
        <v>4990.8151100000005</v>
      </c>
      <c r="K392" s="56">
        <f t="shared" si="195"/>
        <v>8444.54531</v>
      </c>
      <c r="L392" s="58">
        <f t="shared" si="195"/>
        <v>24336.899999999998</v>
      </c>
      <c r="M392" s="58">
        <f t="shared" si="195"/>
        <v>22157.100000000002</v>
      </c>
      <c r="N392" s="31"/>
      <c r="O392" s="31"/>
    </row>
    <row r="393" spans="1:38" ht="14.25" customHeight="1">
      <c r="A393" s="43" t="s">
        <v>15</v>
      </c>
      <c r="B393" s="48"/>
      <c r="C393" s="48"/>
      <c r="D393" s="48"/>
      <c r="E393" s="48"/>
      <c r="F393" s="48" t="s">
        <v>39</v>
      </c>
      <c r="G393" s="50">
        <f>H393+I393+J393+K393</f>
        <v>19593.255400000002</v>
      </c>
      <c r="H393" s="50">
        <f>H394+H396</f>
        <v>4778.162340000001</v>
      </c>
      <c r="I393" s="50">
        <f aca="true" t="shared" si="196" ref="I393:AL393">I394+I396</f>
        <v>2762.53527</v>
      </c>
      <c r="J393" s="50">
        <f t="shared" si="196"/>
        <v>4683.28176</v>
      </c>
      <c r="K393" s="50">
        <f t="shared" si="196"/>
        <v>7369.276030000001</v>
      </c>
      <c r="L393" s="51">
        <f t="shared" si="196"/>
        <v>19302</v>
      </c>
      <c r="M393" s="51">
        <f t="shared" si="196"/>
        <v>19302</v>
      </c>
      <c r="N393" s="18">
        <f t="shared" si="196"/>
        <v>0</v>
      </c>
      <c r="O393" s="18">
        <f t="shared" si="196"/>
        <v>0</v>
      </c>
      <c r="P393" s="18">
        <f t="shared" si="196"/>
        <v>0</v>
      </c>
      <c r="Q393" s="18">
        <f t="shared" si="196"/>
        <v>0</v>
      </c>
      <c r="R393" s="18">
        <f t="shared" si="196"/>
        <v>0</v>
      </c>
      <c r="S393" s="18">
        <f t="shared" si="196"/>
        <v>0</v>
      </c>
      <c r="T393" s="18">
        <f t="shared" si="196"/>
        <v>0</v>
      </c>
      <c r="U393" s="18">
        <f t="shared" si="196"/>
        <v>0</v>
      </c>
      <c r="V393" s="18">
        <f t="shared" si="196"/>
        <v>0</v>
      </c>
      <c r="W393" s="18">
        <f t="shared" si="196"/>
        <v>0</v>
      </c>
      <c r="X393" s="18">
        <f t="shared" si="196"/>
        <v>0</v>
      </c>
      <c r="Y393" s="18">
        <f t="shared" si="196"/>
        <v>0</v>
      </c>
      <c r="Z393" s="18">
        <f t="shared" si="196"/>
        <v>0</v>
      </c>
      <c r="AA393" s="18">
        <f t="shared" si="196"/>
        <v>0</v>
      </c>
      <c r="AB393" s="18">
        <f t="shared" si="196"/>
        <v>0</v>
      </c>
      <c r="AC393" s="18">
        <f t="shared" si="196"/>
        <v>0</v>
      </c>
      <c r="AD393" s="18">
        <f t="shared" si="196"/>
        <v>0</v>
      </c>
      <c r="AE393" s="18">
        <f t="shared" si="196"/>
        <v>0</v>
      </c>
      <c r="AF393" s="18">
        <f t="shared" si="196"/>
        <v>0</v>
      </c>
      <c r="AG393" s="18">
        <f t="shared" si="196"/>
        <v>0</v>
      </c>
      <c r="AH393" s="18">
        <f t="shared" si="196"/>
        <v>0</v>
      </c>
      <c r="AI393" s="18">
        <f t="shared" si="196"/>
        <v>0</v>
      </c>
      <c r="AJ393" s="18">
        <f t="shared" si="196"/>
        <v>0</v>
      </c>
      <c r="AK393" s="18">
        <f t="shared" si="196"/>
        <v>0</v>
      </c>
      <c r="AL393" s="18">
        <f t="shared" si="196"/>
        <v>0</v>
      </c>
    </row>
    <row r="394" spans="1:15" ht="13.5" customHeight="1">
      <c r="A394" s="41" t="s">
        <v>16</v>
      </c>
      <c r="B394" s="48"/>
      <c r="C394" s="48"/>
      <c r="D394" s="48"/>
      <c r="E394" s="48"/>
      <c r="F394" s="48" t="s">
        <v>40</v>
      </c>
      <c r="G394" s="50">
        <f>H394+I394+J394+K394</f>
        <v>15268.75347</v>
      </c>
      <c r="H394" s="50">
        <f aca="true" t="shared" si="197" ref="H394:M394">H419+H447+H475+H479+H483+H487</f>
        <v>3666.31311</v>
      </c>
      <c r="I394" s="50">
        <f t="shared" si="197"/>
        <v>2193.2731</v>
      </c>
      <c r="J394" s="50">
        <f t="shared" si="197"/>
        <v>3581.85351</v>
      </c>
      <c r="K394" s="50">
        <f t="shared" si="197"/>
        <v>5827.31375</v>
      </c>
      <c r="L394" s="51">
        <f t="shared" si="197"/>
        <v>14825.000000000002</v>
      </c>
      <c r="M394" s="51">
        <f t="shared" si="197"/>
        <v>14825.000000000002</v>
      </c>
      <c r="N394" s="31"/>
      <c r="O394" s="31"/>
    </row>
    <row r="395" spans="1:15" ht="12" customHeight="1">
      <c r="A395" s="41" t="s">
        <v>17</v>
      </c>
      <c r="B395" s="48"/>
      <c r="C395" s="48"/>
      <c r="D395" s="48"/>
      <c r="E395" s="48"/>
      <c r="F395" s="48" t="s">
        <v>41</v>
      </c>
      <c r="G395" s="50"/>
      <c r="H395" s="50"/>
      <c r="I395" s="50"/>
      <c r="J395" s="50"/>
      <c r="K395" s="50"/>
      <c r="L395" s="51"/>
      <c r="M395" s="51"/>
      <c r="N395" s="31"/>
      <c r="O395" s="31"/>
    </row>
    <row r="396" spans="1:15" ht="12.75" customHeight="1">
      <c r="A396" s="41" t="s">
        <v>18</v>
      </c>
      <c r="B396" s="48"/>
      <c r="C396" s="48"/>
      <c r="D396" s="48"/>
      <c r="E396" s="48"/>
      <c r="F396" s="48" t="s">
        <v>42</v>
      </c>
      <c r="G396" s="50">
        <f>H396+I396+J396+K396</f>
        <v>4324.50193</v>
      </c>
      <c r="H396" s="50">
        <f aca="true" t="shared" si="198" ref="H396:M396">H421+H449+H480+H484+H488+H476</f>
        <v>1111.8492300000003</v>
      </c>
      <c r="I396" s="50">
        <f t="shared" si="198"/>
        <v>569.26217</v>
      </c>
      <c r="J396" s="50">
        <f t="shared" si="198"/>
        <v>1101.42825</v>
      </c>
      <c r="K396" s="50">
        <f t="shared" si="198"/>
        <v>1541.9622800000002</v>
      </c>
      <c r="L396" s="51">
        <f t="shared" si="198"/>
        <v>4477</v>
      </c>
      <c r="M396" s="51">
        <f t="shared" si="198"/>
        <v>4477</v>
      </c>
      <c r="N396" s="31"/>
      <c r="O396" s="31"/>
    </row>
    <row r="397" spans="1:15" ht="15.75" customHeight="1">
      <c r="A397" s="41" t="s">
        <v>19</v>
      </c>
      <c r="B397" s="48"/>
      <c r="C397" s="48"/>
      <c r="D397" s="48"/>
      <c r="E397" s="48"/>
      <c r="F397" s="48" t="s">
        <v>44</v>
      </c>
      <c r="G397" s="50">
        <f>H397+I397+J397+K397</f>
        <v>2440.7823599999997</v>
      </c>
      <c r="H397" s="50">
        <f aca="true" t="shared" si="199" ref="H397:M397">H398+H400+H406+H407</f>
        <v>674.6720199999999</v>
      </c>
      <c r="I397" s="50">
        <f t="shared" si="199"/>
        <v>620.5999099999999</v>
      </c>
      <c r="J397" s="50">
        <f t="shared" si="199"/>
        <v>199.17435</v>
      </c>
      <c r="K397" s="50">
        <f t="shared" si="199"/>
        <v>946.3360799999998</v>
      </c>
      <c r="L397" s="51">
        <f t="shared" si="199"/>
        <v>2356.1000000000004</v>
      </c>
      <c r="M397" s="51">
        <f t="shared" si="199"/>
        <v>2423.9</v>
      </c>
      <c r="N397" s="31"/>
      <c r="O397" s="31"/>
    </row>
    <row r="398" spans="1:15" ht="15.75" customHeight="1">
      <c r="A398" s="41" t="s">
        <v>20</v>
      </c>
      <c r="B398" s="48"/>
      <c r="C398" s="48"/>
      <c r="D398" s="48"/>
      <c r="E398" s="48"/>
      <c r="F398" s="48" t="s">
        <v>45</v>
      </c>
      <c r="G398" s="50">
        <f>H398+I398+J398+K398</f>
        <v>34.1</v>
      </c>
      <c r="H398" s="50">
        <f aca="true" t="shared" si="200" ref="H398:M398">H423+H451</f>
        <v>6.62524</v>
      </c>
      <c r="I398" s="50">
        <f t="shared" si="200"/>
        <v>8.02333</v>
      </c>
      <c r="J398" s="50">
        <f t="shared" si="200"/>
        <v>7.627980000000001</v>
      </c>
      <c r="K398" s="50">
        <f t="shared" si="200"/>
        <v>11.82345</v>
      </c>
      <c r="L398" s="51">
        <f t="shared" si="200"/>
        <v>35.4</v>
      </c>
      <c r="M398" s="51">
        <f t="shared" si="200"/>
        <v>36.8</v>
      </c>
      <c r="N398" s="31"/>
      <c r="O398" s="31"/>
    </row>
    <row r="399" spans="1:15" ht="15.75" customHeight="1" hidden="1">
      <c r="A399" s="41" t="s">
        <v>21</v>
      </c>
      <c r="B399" s="48"/>
      <c r="C399" s="48"/>
      <c r="D399" s="48"/>
      <c r="E399" s="48"/>
      <c r="F399" s="48" t="s">
        <v>46</v>
      </c>
      <c r="G399" s="50">
        <f>H399+I399+J399+K399</f>
        <v>0</v>
      </c>
      <c r="H399" s="50"/>
      <c r="I399" s="50"/>
      <c r="J399" s="50"/>
      <c r="K399" s="50"/>
      <c r="L399" s="51"/>
      <c r="M399" s="51"/>
      <c r="N399" s="31"/>
      <c r="O399" s="31"/>
    </row>
    <row r="400" spans="1:15" ht="15.75" customHeight="1">
      <c r="A400" s="41" t="s">
        <v>22</v>
      </c>
      <c r="B400" s="48"/>
      <c r="C400" s="48"/>
      <c r="D400" s="48"/>
      <c r="E400" s="48"/>
      <c r="F400" s="48" t="s">
        <v>47</v>
      </c>
      <c r="G400" s="50">
        <f>H400+I400+J400+K400</f>
        <v>1749.0845599999998</v>
      </c>
      <c r="H400" s="50">
        <f aca="true" t="shared" si="201" ref="H400:M400">H402+H403+H404+H405</f>
        <v>522.9924599999999</v>
      </c>
      <c r="I400" s="50">
        <f t="shared" si="201"/>
        <v>400.58498</v>
      </c>
      <c r="J400" s="50">
        <f t="shared" si="201"/>
        <v>92.04234000000001</v>
      </c>
      <c r="K400" s="50">
        <f t="shared" si="201"/>
        <v>733.4647799999999</v>
      </c>
      <c r="L400" s="51">
        <f t="shared" si="201"/>
        <v>1656.7</v>
      </c>
      <c r="M400" s="51">
        <f t="shared" si="201"/>
        <v>1723.2</v>
      </c>
      <c r="N400" s="31"/>
      <c r="O400" s="31"/>
    </row>
    <row r="401" spans="1:15" ht="11.25" customHeight="1">
      <c r="A401" s="41" t="s">
        <v>23</v>
      </c>
      <c r="B401" s="48"/>
      <c r="C401" s="48"/>
      <c r="D401" s="48"/>
      <c r="E401" s="48"/>
      <c r="F401" s="48"/>
      <c r="G401" s="50"/>
      <c r="H401" s="50"/>
      <c r="I401" s="50"/>
      <c r="J401" s="50"/>
      <c r="K401" s="50"/>
      <c r="L401" s="51"/>
      <c r="M401" s="51"/>
      <c r="N401" s="31"/>
      <c r="O401" s="31"/>
    </row>
    <row r="402" spans="1:15" ht="15.75" customHeight="1">
      <c r="A402" s="41" t="s">
        <v>24</v>
      </c>
      <c r="B402" s="48"/>
      <c r="C402" s="48"/>
      <c r="D402" s="48"/>
      <c r="E402" s="48"/>
      <c r="F402" s="48" t="s">
        <v>187</v>
      </c>
      <c r="G402" s="50">
        <f aca="true" t="shared" si="202" ref="G402:G411">H402+I402+J402+K402</f>
        <v>1267.3740699999998</v>
      </c>
      <c r="H402" s="50">
        <f aca="true" t="shared" si="203" ref="H402:M403">H427+H455</f>
        <v>415.47943</v>
      </c>
      <c r="I402" s="50">
        <f t="shared" si="203"/>
        <v>294.76169</v>
      </c>
      <c r="J402" s="45">
        <f t="shared" si="203"/>
        <v>0</v>
      </c>
      <c r="K402" s="50">
        <f t="shared" si="203"/>
        <v>557.1329499999999</v>
      </c>
      <c r="L402" s="51">
        <f t="shared" si="203"/>
        <v>1159.2</v>
      </c>
      <c r="M402" s="51">
        <f t="shared" si="203"/>
        <v>1205.6</v>
      </c>
      <c r="N402" s="31"/>
      <c r="O402" s="31"/>
    </row>
    <row r="403" spans="1:15" ht="15.75" customHeight="1">
      <c r="A403" s="41" t="s">
        <v>25</v>
      </c>
      <c r="B403" s="48"/>
      <c r="C403" s="48"/>
      <c r="D403" s="48"/>
      <c r="E403" s="48"/>
      <c r="F403" s="48" t="s">
        <v>188</v>
      </c>
      <c r="G403" s="50">
        <f t="shared" si="202"/>
        <v>371.28324999999995</v>
      </c>
      <c r="H403" s="50">
        <f t="shared" si="203"/>
        <v>95.78486999999998</v>
      </c>
      <c r="I403" s="50">
        <f t="shared" si="203"/>
        <v>84.65137000000001</v>
      </c>
      <c r="J403" s="50">
        <f t="shared" si="203"/>
        <v>63.35584000000001</v>
      </c>
      <c r="K403" s="50">
        <f t="shared" si="203"/>
        <v>127.49116999999998</v>
      </c>
      <c r="L403" s="51">
        <f t="shared" si="203"/>
        <v>483.59999999999997</v>
      </c>
      <c r="M403" s="51">
        <f t="shared" si="203"/>
        <v>503.2</v>
      </c>
      <c r="N403" s="31"/>
      <c r="O403" s="31"/>
    </row>
    <row r="404" spans="1:38" ht="20.25" customHeight="1">
      <c r="A404" s="41" t="s">
        <v>26</v>
      </c>
      <c r="B404" s="48"/>
      <c r="C404" s="48"/>
      <c r="D404" s="48"/>
      <c r="E404" s="48"/>
      <c r="F404" s="48" t="s">
        <v>189</v>
      </c>
      <c r="G404" s="50">
        <f t="shared" si="202"/>
        <v>15.05516</v>
      </c>
      <c r="H404" s="50">
        <f>H429+H457</f>
        <v>3.7464000000000004</v>
      </c>
      <c r="I404" s="50">
        <f aca="true" t="shared" si="204" ref="I404:AL404">I429+I457</f>
        <v>3.99616</v>
      </c>
      <c r="J404" s="50">
        <f t="shared" si="204"/>
        <v>2.6236</v>
      </c>
      <c r="K404" s="50">
        <f t="shared" si="204"/>
        <v>4.689</v>
      </c>
      <c r="L404" s="51">
        <f t="shared" si="204"/>
        <v>13.9</v>
      </c>
      <c r="M404" s="51">
        <f t="shared" si="204"/>
        <v>14.4</v>
      </c>
      <c r="N404" s="18">
        <f t="shared" si="204"/>
        <v>0</v>
      </c>
      <c r="O404" s="18">
        <f t="shared" si="204"/>
        <v>0</v>
      </c>
      <c r="P404" s="18">
        <f t="shared" si="204"/>
        <v>0</v>
      </c>
      <c r="Q404" s="18">
        <f t="shared" si="204"/>
        <v>0</v>
      </c>
      <c r="R404" s="18">
        <f t="shared" si="204"/>
        <v>0</v>
      </c>
      <c r="S404" s="18">
        <f t="shared" si="204"/>
        <v>0</v>
      </c>
      <c r="T404" s="18">
        <f t="shared" si="204"/>
        <v>0</v>
      </c>
      <c r="U404" s="18">
        <f t="shared" si="204"/>
        <v>0</v>
      </c>
      <c r="V404" s="18">
        <f t="shared" si="204"/>
        <v>0</v>
      </c>
      <c r="W404" s="18">
        <f t="shared" si="204"/>
        <v>0</v>
      </c>
      <c r="X404" s="18">
        <f t="shared" si="204"/>
        <v>0</v>
      </c>
      <c r="Y404" s="18">
        <f t="shared" si="204"/>
        <v>0</v>
      </c>
      <c r="Z404" s="18">
        <f t="shared" si="204"/>
        <v>0</v>
      </c>
      <c r="AA404" s="18">
        <f t="shared" si="204"/>
        <v>0</v>
      </c>
      <c r="AB404" s="18">
        <f t="shared" si="204"/>
        <v>0</v>
      </c>
      <c r="AC404" s="18">
        <f t="shared" si="204"/>
        <v>0</v>
      </c>
      <c r="AD404" s="18">
        <f t="shared" si="204"/>
        <v>0</v>
      </c>
      <c r="AE404" s="18">
        <f t="shared" si="204"/>
        <v>0</v>
      </c>
      <c r="AF404" s="18">
        <f t="shared" si="204"/>
        <v>0</v>
      </c>
      <c r="AG404" s="18">
        <f t="shared" si="204"/>
        <v>0</v>
      </c>
      <c r="AH404" s="18">
        <f t="shared" si="204"/>
        <v>0</v>
      </c>
      <c r="AI404" s="18">
        <f t="shared" si="204"/>
        <v>0</v>
      </c>
      <c r="AJ404" s="18">
        <f t="shared" si="204"/>
        <v>0</v>
      </c>
      <c r="AK404" s="18">
        <f t="shared" si="204"/>
        <v>0</v>
      </c>
      <c r="AL404" s="18">
        <f t="shared" si="204"/>
        <v>0</v>
      </c>
    </row>
    <row r="405" spans="1:15" ht="20.25" customHeight="1">
      <c r="A405" s="41" t="s">
        <v>440</v>
      </c>
      <c r="B405" s="48"/>
      <c r="C405" s="48"/>
      <c r="D405" s="48"/>
      <c r="E405" s="48"/>
      <c r="F405" s="48" t="s">
        <v>416</v>
      </c>
      <c r="G405" s="50">
        <f t="shared" si="202"/>
        <v>95.37208</v>
      </c>
      <c r="H405" s="50">
        <f>H430+H458</f>
        <v>7.98176</v>
      </c>
      <c r="I405" s="50">
        <f aca="true" t="shared" si="205" ref="I405:M406">I430+I458</f>
        <v>17.17576</v>
      </c>
      <c r="J405" s="50">
        <f t="shared" si="205"/>
        <v>26.062899999999996</v>
      </c>
      <c r="K405" s="50">
        <f t="shared" si="205"/>
        <v>44.15166</v>
      </c>
      <c r="L405" s="45">
        <f t="shared" si="205"/>
        <v>0</v>
      </c>
      <c r="M405" s="45">
        <f t="shared" si="205"/>
        <v>0</v>
      </c>
      <c r="N405" s="31"/>
      <c r="O405" s="31"/>
    </row>
    <row r="406" spans="1:15" ht="15.75" customHeight="1">
      <c r="A406" s="41" t="s">
        <v>308</v>
      </c>
      <c r="B406" s="48"/>
      <c r="C406" s="48"/>
      <c r="D406" s="48"/>
      <c r="E406" s="48"/>
      <c r="F406" s="48" t="s">
        <v>48</v>
      </c>
      <c r="G406" s="50">
        <f t="shared" si="202"/>
        <v>170.56382000000002</v>
      </c>
      <c r="H406" s="50">
        <f>H431+H459</f>
        <v>23.59312</v>
      </c>
      <c r="I406" s="50">
        <f t="shared" si="205"/>
        <v>46.1192</v>
      </c>
      <c r="J406" s="50">
        <f t="shared" si="205"/>
        <v>46.31223</v>
      </c>
      <c r="K406" s="50">
        <f t="shared" si="205"/>
        <v>54.53927</v>
      </c>
      <c r="L406" s="51">
        <f t="shared" si="205"/>
        <v>233</v>
      </c>
      <c r="M406" s="51">
        <f t="shared" si="205"/>
        <v>233</v>
      </c>
      <c r="N406" s="31"/>
      <c r="O406" s="31"/>
    </row>
    <row r="407" spans="1:15" ht="15.75" customHeight="1">
      <c r="A407" s="43" t="s">
        <v>305</v>
      </c>
      <c r="B407" s="48"/>
      <c r="C407" s="48"/>
      <c r="D407" s="48"/>
      <c r="E407" s="48"/>
      <c r="F407" s="48" t="s">
        <v>49</v>
      </c>
      <c r="G407" s="50">
        <f t="shared" si="202"/>
        <v>487.03398</v>
      </c>
      <c r="H407" s="50">
        <f aca="true" t="shared" si="206" ref="H407:M407">H436+H441+H460</f>
        <v>121.4612</v>
      </c>
      <c r="I407" s="50">
        <f t="shared" si="206"/>
        <v>165.8724</v>
      </c>
      <c r="J407" s="50">
        <f t="shared" si="206"/>
        <v>53.191799999999986</v>
      </c>
      <c r="K407" s="50">
        <f t="shared" si="206"/>
        <v>146.50858</v>
      </c>
      <c r="L407" s="51">
        <f t="shared" si="206"/>
        <v>431</v>
      </c>
      <c r="M407" s="51">
        <f t="shared" si="206"/>
        <v>430.9</v>
      </c>
      <c r="N407" s="31"/>
      <c r="O407" s="31"/>
    </row>
    <row r="408" spans="1:15" ht="15.75" customHeight="1">
      <c r="A408" s="41" t="s">
        <v>270</v>
      </c>
      <c r="B408" s="48"/>
      <c r="C408" s="48"/>
      <c r="D408" s="48"/>
      <c r="E408" s="48"/>
      <c r="F408" s="48" t="s">
        <v>50</v>
      </c>
      <c r="G408" s="50">
        <f t="shared" si="202"/>
        <v>235.06380000000001</v>
      </c>
      <c r="H408" s="50">
        <f aca="true" t="shared" si="207" ref="H408:M408">H438+H462</f>
        <v>83.83200000000001</v>
      </c>
      <c r="I408" s="50">
        <f t="shared" si="207"/>
        <v>53.966</v>
      </c>
      <c r="J408" s="50">
        <f t="shared" si="207"/>
        <v>54.694</v>
      </c>
      <c r="K408" s="50">
        <f t="shared" si="207"/>
        <v>42.571799999999996</v>
      </c>
      <c r="L408" s="51">
        <f t="shared" si="207"/>
        <v>227.2</v>
      </c>
      <c r="M408" s="51">
        <f t="shared" si="207"/>
        <v>227.2</v>
      </c>
      <c r="N408" s="31"/>
      <c r="O408" s="31"/>
    </row>
    <row r="409" spans="1:15" ht="14.25" customHeight="1">
      <c r="A409" s="43" t="s">
        <v>31</v>
      </c>
      <c r="B409" s="48"/>
      <c r="C409" s="48"/>
      <c r="D409" s="48"/>
      <c r="E409" s="48"/>
      <c r="F409" s="48" t="s">
        <v>52</v>
      </c>
      <c r="G409" s="50">
        <f t="shared" si="202"/>
        <v>145.3012</v>
      </c>
      <c r="H409" s="51">
        <f aca="true" t="shared" si="208" ref="H409:M409">H410+H411</f>
        <v>3</v>
      </c>
      <c r="I409" s="50">
        <f t="shared" si="208"/>
        <v>2.2747999999999995</v>
      </c>
      <c r="J409" s="50">
        <f t="shared" si="208"/>
        <v>53.665</v>
      </c>
      <c r="K409" s="50">
        <f t="shared" si="208"/>
        <v>86.3614</v>
      </c>
      <c r="L409" s="51">
        <f t="shared" si="208"/>
        <v>2451.6</v>
      </c>
      <c r="M409" s="51">
        <f t="shared" si="208"/>
        <v>204</v>
      </c>
      <c r="N409" s="31"/>
      <c r="O409" s="31"/>
    </row>
    <row r="410" spans="1:15" ht="12.75" customHeight="1">
      <c r="A410" s="43" t="s">
        <v>265</v>
      </c>
      <c r="B410" s="48"/>
      <c r="C410" s="48"/>
      <c r="D410" s="48"/>
      <c r="E410" s="48"/>
      <c r="F410" s="48" t="s">
        <v>53</v>
      </c>
      <c r="G410" s="50">
        <f t="shared" si="202"/>
        <v>85.05</v>
      </c>
      <c r="H410" s="45">
        <f aca="true" t="shared" si="209" ref="H410:M410">H444+H470+H472</f>
        <v>0</v>
      </c>
      <c r="I410" s="45">
        <f t="shared" si="209"/>
        <v>0</v>
      </c>
      <c r="J410" s="51">
        <f t="shared" si="209"/>
        <v>20</v>
      </c>
      <c r="K410" s="51">
        <f t="shared" si="209"/>
        <v>65.05</v>
      </c>
      <c r="L410" s="51">
        <f t="shared" si="209"/>
        <v>2267.6</v>
      </c>
      <c r="M410" s="51">
        <f t="shared" si="209"/>
        <v>20</v>
      </c>
      <c r="N410" s="31"/>
      <c r="O410" s="31"/>
    </row>
    <row r="411" spans="1:15" ht="15.75" customHeight="1">
      <c r="A411" s="43" t="s">
        <v>330</v>
      </c>
      <c r="B411" s="48"/>
      <c r="C411" s="48"/>
      <c r="D411" s="48"/>
      <c r="E411" s="48"/>
      <c r="F411" s="48" t="s">
        <v>54</v>
      </c>
      <c r="G411" s="50">
        <f t="shared" si="202"/>
        <v>60.2512</v>
      </c>
      <c r="H411" s="51">
        <f aca="true" t="shared" si="210" ref="H411:M411">H415</f>
        <v>3</v>
      </c>
      <c r="I411" s="50">
        <f t="shared" si="210"/>
        <v>2.2747999999999995</v>
      </c>
      <c r="J411" s="50">
        <f t="shared" si="210"/>
        <v>33.665</v>
      </c>
      <c r="K411" s="49">
        <f t="shared" si="210"/>
        <v>21.3114</v>
      </c>
      <c r="L411" s="51">
        <f t="shared" si="210"/>
        <v>184</v>
      </c>
      <c r="M411" s="51">
        <f t="shared" si="210"/>
        <v>184</v>
      </c>
      <c r="N411" s="31"/>
      <c r="O411" s="31"/>
    </row>
    <row r="412" spans="1:15" ht="11.25" customHeight="1">
      <c r="A412" s="43" t="s">
        <v>23</v>
      </c>
      <c r="B412" s="48"/>
      <c r="C412" s="48"/>
      <c r="D412" s="48"/>
      <c r="E412" s="48"/>
      <c r="F412" s="48"/>
      <c r="G412" s="50"/>
      <c r="H412" s="51"/>
      <c r="I412" s="50"/>
      <c r="J412" s="50"/>
      <c r="K412" s="49"/>
      <c r="L412" s="51"/>
      <c r="M412" s="51"/>
      <c r="N412" s="31"/>
      <c r="O412" s="31"/>
    </row>
    <row r="413" spans="1:15" ht="15.75" customHeight="1" hidden="1">
      <c r="A413" s="43" t="s">
        <v>34</v>
      </c>
      <c r="B413" s="48"/>
      <c r="C413" s="48"/>
      <c r="D413" s="48"/>
      <c r="E413" s="48"/>
      <c r="F413" s="48" t="s">
        <v>54</v>
      </c>
      <c r="G413" s="50"/>
      <c r="H413" s="51"/>
      <c r="I413" s="50"/>
      <c r="J413" s="50"/>
      <c r="K413" s="49"/>
      <c r="L413" s="51"/>
      <c r="M413" s="51"/>
      <c r="N413" s="31"/>
      <c r="O413" s="31"/>
    </row>
    <row r="414" spans="1:15" ht="15.75" customHeight="1" hidden="1">
      <c r="A414" s="43" t="s">
        <v>67</v>
      </c>
      <c r="B414" s="48"/>
      <c r="C414" s="48"/>
      <c r="D414" s="48"/>
      <c r="E414" s="48"/>
      <c r="F414" s="48" t="s">
        <v>54</v>
      </c>
      <c r="G414" s="50"/>
      <c r="H414" s="51"/>
      <c r="I414" s="50"/>
      <c r="J414" s="50"/>
      <c r="K414" s="49"/>
      <c r="L414" s="51"/>
      <c r="M414" s="51"/>
      <c r="N414" s="31"/>
      <c r="O414" s="31"/>
    </row>
    <row r="415" spans="1:15" ht="15.75" customHeight="1">
      <c r="A415" s="43" t="s">
        <v>35</v>
      </c>
      <c r="B415" s="48"/>
      <c r="C415" s="48"/>
      <c r="D415" s="48"/>
      <c r="E415" s="48"/>
      <c r="F415" s="48" t="s">
        <v>340</v>
      </c>
      <c r="G415" s="50">
        <f>H415+I415+J415+K415</f>
        <v>60.2512</v>
      </c>
      <c r="H415" s="51">
        <f aca="true" t="shared" si="211" ref="H415:M415">H442+H468</f>
        <v>3</v>
      </c>
      <c r="I415" s="50">
        <f t="shared" si="211"/>
        <v>2.2747999999999995</v>
      </c>
      <c r="J415" s="50">
        <f t="shared" si="211"/>
        <v>33.665</v>
      </c>
      <c r="K415" s="49">
        <f t="shared" si="211"/>
        <v>21.3114</v>
      </c>
      <c r="L415" s="51">
        <f t="shared" si="211"/>
        <v>184</v>
      </c>
      <c r="M415" s="51">
        <f t="shared" si="211"/>
        <v>184</v>
      </c>
      <c r="N415" s="31"/>
      <c r="O415" s="31"/>
    </row>
    <row r="416" spans="1:15" ht="33.75" customHeight="1">
      <c r="A416" s="62" t="s">
        <v>281</v>
      </c>
      <c r="B416" s="55" t="s">
        <v>76</v>
      </c>
      <c r="C416" s="55" t="s">
        <v>70</v>
      </c>
      <c r="D416" s="55" t="s">
        <v>324</v>
      </c>
      <c r="E416" s="55" t="s">
        <v>59</v>
      </c>
      <c r="F416" s="55"/>
      <c r="G416" s="56">
        <f>H416+I416+J416+K416</f>
        <v>22414.40276</v>
      </c>
      <c r="H416" s="56">
        <f aca="true" t="shared" si="212" ref="H416:M416">H417+H439+H443+H445+H469+H471+H473+H477+H481+H485</f>
        <v>5539.66636</v>
      </c>
      <c r="I416" s="56">
        <f t="shared" si="212"/>
        <v>3439.37598</v>
      </c>
      <c r="J416" s="56">
        <f t="shared" si="212"/>
        <v>4990.8151100000005</v>
      </c>
      <c r="K416" s="56">
        <f t="shared" si="212"/>
        <v>8444.545310000001</v>
      </c>
      <c r="L416" s="58">
        <f t="shared" si="212"/>
        <v>24336.9</v>
      </c>
      <c r="M416" s="58">
        <f t="shared" si="212"/>
        <v>22157.1</v>
      </c>
      <c r="N416" s="31"/>
      <c r="O416" s="31"/>
    </row>
    <row r="417" spans="1:32" ht="48" customHeight="1">
      <c r="A417" s="43" t="s">
        <v>331</v>
      </c>
      <c r="B417" s="48" t="s">
        <v>76</v>
      </c>
      <c r="C417" s="48" t="s">
        <v>70</v>
      </c>
      <c r="D417" s="48" t="s">
        <v>169</v>
      </c>
      <c r="E417" s="48" t="s">
        <v>131</v>
      </c>
      <c r="F417" s="48"/>
      <c r="G417" s="49">
        <f>H417+I417+J417+K417</f>
        <v>12828.763200000001</v>
      </c>
      <c r="H417" s="50">
        <f aca="true" t="shared" si="213" ref="H417:M417">H418+H422+H438</f>
        <v>2912.42815</v>
      </c>
      <c r="I417" s="50">
        <f t="shared" si="213"/>
        <v>1675.82789</v>
      </c>
      <c r="J417" s="50">
        <f t="shared" si="213"/>
        <v>2810.38238</v>
      </c>
      <c r="K417" s="50">
        <f t="shared" si="213"/>
        <v>5430.12478</v>
      </c>
      <c r="L417" s="50">
        <f t="shared" si="213"/>
        <v>12880.300000000001</v>
      </c>
      <c r="M417" s="50">
        <f t="shared" si="213"/>
        <v>12942</v>
      </c>
      <c r="N417" s="31"/>
      <c r="O417" s="31"/>
      <c r="AD417" s="12">
        <f>G417+G473+G481</f>
        <v>19244.672960000004</v>
      </c>
      <c r="AE417" s="12">
        <f>L417+L473+L481</f>
        <v>18644.000000000004</v>
      </c>
      <c r="AF417" s="12">
        <f>M417+M473+M481</f>
        <v>18705.7</v>
      </c>
    </row>
    <row r="418" spans="1:15" ht="14.25" customHeight="1">
      <c r="A418" s="43" t="s">
        <v>15</v>
      </c>
      <c r="B418" s="48" t="s">
        <v>76</v>
      </c>
      <c r="C418" s="48" t="s">
        <v>70</v>
      </c>
      <c r="D418" s="48" t="s">
        <v>169</v>
      </c>
      <c r="E418" s="48" t="s">
        <v>105</v>
      </c>
      <c r="F418" s="48" t="s">
        <v>107</v>
      </c>
      <c r="G418" s="49">
        <f>G419+G420+G421</f>
        <v>10863.1994</v>
      </c>
      <c r="H418" s="50">
        <f>H419+H420+H421</f>
        <v>2325.79518</v>
      </c>
      <c r="I418" s="50">
        <f>I419+I420+I421</f>
        <v>1214.71367</v>
      </c>
      <c r="J418" s="50">
        <f>J419+J420+J421</f>
        <v>2659.92414</v>
      </c>
      <c r="K418" s="50">
        <f>K419+K421</f>
        <v>4662.76641</v>
      </c>
      <c r="L418" s="51">
        <f>L419+L420+L421</f>
        <v>10863.2</v>
      </c>
      <c r="M418" s="51">
        <f>M419+M421</f>
        <v>10863.2</v>
      </c>
      <c r="N418" s="31"/>
      <c r="O418" s="31"/>
    </row>
    <row r="419" spans="1:15" ht="15.75" customHeight="1">
      <c r="A419" s="41" t="s">
        <v>16</v>
      </c>
      <c r="B419" s="48" t="s">
        <v>76</v>
      </c>
      <c r="C419" s="48" t="s">
        <v>70</v>
      </c>
      <c r="D419" s="48" t="s">
        <v>169</v>
      </c>
      <c r="E419" s="48" t="s">
        <v>90</v>
      </c>
      <c r="F419" s="48" t="s">
        <v>108</v>
      </c>
      <c r="G419" s="49">
        <f>H419+I419+J419+K419</f>
        <v>8343.4996</v>
      </c>
      <c r="H419" s="50">
        <f>1668.7+86.91039</f>
        <v>1755.61039</v>
      </c>
      <c r="I419" s="50">
        <f>2085.9-86.91039-1064.27854</f>
        <v>934.7110700000001</v>
      </c>
      <c r="J419" s="50">
        <f>2085.9+1064.27854-1162.53937</f>
        <v>1987.63917</v>
      </c>
      <c r="K419" s="50">
        <f>2503+1162.53937-0.0004</f>
        <v>3665.53897</v>
      </c>
      <c r="L419" s="51">
        <v>8343.5</v>
      </c>
      <c r="M419" s="51">
        <v>8343.5</v>
      </c>
      <c r="N419" s="31"/>
      <c r="O419" s="31"/>
    </row>
    <row r="420" spans="1:15" ht="15.75" customHeight="1" hidden="1">
      <c r="A420" s="41" t="s">
        <v>17</v>
      </c>
      <c r="B420" s="48" t="s">
        <v>76</v>
      </c>
      <c r="C420" s="48" t="s">
        <v>70</v>
      </c>
      <c r="D420" s="48" t="s">
        <v>169</v>
      </c>
      <c r="E420" s="48" t="s">
        <v>90</v>
      </c>
      <c r="F420" s="48" t="s">
        <v>109</v>
      </c>
      <c r="G420" s="50"/>
      <c r="H420" s="50"/>
      <c r="I420" s="50"/>
      <c r="J420" s="50"/>
      <c r="K420" s="50"/>
      <c r="L420" s="50"/>
      <c r="M420" s="50"/>
      <c r="N420" s="31"/>
      <c r="O420" s="31"/>
    </row>
    <row r="421" spans="1:15" ht="15.75" customHeight="1">
      <c r="A421" s="41" t="s">
        <v>18</v>
      </c>
      <c r="B421" s="48" t="s">
        <v>76</v>
      </c>
      <c r="C421" s="48" t="s">
        <v>70</v>
      </c>
      <c r="D421" s="48" t="s">
        <v>169</v>
      </c>
      <c r="E421" s="48" t="s">
        <v>90</v>
      </c>
      <c r="F421" s="48" t="s">
        <v>110</v>
      </c>
      <c r="G421" s="49">
        <f>H421+I421+J421+K421</f>
        <v>2519.6998</v>
      </c>
      <c r="H421" s="50">
        <f>503.9+66.28479</f>
        <v>570.18479</v>
      </c>
      <c r="I421" s="50">
        <f>629.9-66.28479-283.61261</f>
        <v>280.0025999999999</v>
      </c>
      <c r="J421" s="50">
        <f>629.9+283.61261-241.22764</f>
        <v>672.2849699999999</v>
      </c>
      <c r="K421" s="50">
        <f>756+241.22764-0.0002</f>
        <v>997.2274400000001</v>
      </c>
      <c r="L421" s="51">
        <v>2519.7</v>
      </c>
      <c r="M421" s="51">
        <v>2519.7</v>
      </c>
      <c r="N421" s="31"/>
      <c r="O421" s="31"/>
    </row>
    <row r="422" spans="1:15" ht="15.75" customHeight="1">
      <c r="A422" s="41" t="s">
        <v>19</v>
      </c>
      <c r="B422" s="48" t="s">
        <v>76</v>
      </c>
      <c r="C422" s="48" t="s">
        <v>70</v>
      </c>
      <c r="D422" s="48" t="s">
        <v>169</v>
      </c>
      <c r="E422" s="48" t="s">
        <v>90</v>
      </c>
      <c r="F422" s="48" t="s">
        <v>111</v>
      </c>
      <c r="G422" s="50">
        <f aca="true" t="shared" si="214" ref="G422:M422">G423+G425+G431+G436</f>
        <v>1758.7</v>
      </c>
      <c r="H422" s="50">
        <f t="shared" si="214"/>
        <v>510.26497</v>
      </c>
      <c r="I422" s="50">
        <f t="shared" si="214"/>
        <v>413.42022000000003</v>
      </c>
      <c r="J422" s="50">
        <f t="shared" si="214"/>
        <v>102.76423999999999</v>
      </c>
      <c r="K422" s="50">
        <f t="shared" si="214"/>
        <v>732.2505699999999</v>
      </c>
      <c r="L422" s="51">
        <f t="shared" si="214"/>
        <v>1818.1000000000001</v>
      </c>
      <c r="M422" s="51">
        <f t="shared" si="214"/>
        <v>1879.8</v>
      </c>
      <c r="N422" s="31"/>
      <c r="O422" s="31"/>
    </row>
    <row r="423" spans="1:15" ht="15.75" customHeight="1">
      <c r="A423" s="41" t="s">
        <v>20</v>
      </c>
      <c r="B423" s="48" t="s">
        <v>76</v>
      </c>
      <c r="C423" s="48" t="s">
        <v>70</v>
      </c>
      <c r="D423" s="48" t="s">
        <v>169</v>
      </c>
      <c r="E423" s="48" t="s">
        <v>90</v>
      </c>
      <c r="F423" s="48" t="s">
        <v>112</v>
      </c>
      <c r="G423" s="51">
        <f>H423+I423+J423+K423</f>
        <v>18.2</v>
      </c>
      <c r="H423" s="50">
        <f>4.5-0.53076</f>
        <v>3.96924</v>
      </c>
      <c r="I423" s="50">
        <f>4.5+0.53076-0.56249</f>
        <v>4.4682699999999995</v>
      </c>
      <c r="J423" s="50">
        <f>4.6+0.56249-1.08998</f>
        <v>4.07251</v>
      </c>
      <c r="K423" s="50">
        <f>4.6+1.08998</f>
        <v>5.689979999999999</v>
      </c>
      <c r="L423" s="51">
        <v>18.9</v>
      </c>
      <c r="M423" s="51">
        <v>19.7</v>
      </c>
      <c r="N423" s="31"/>
      <c r="O423" s="31"/>
    </row>
    <row r="424" spans="1:15" ht="15.75" customHeight="1">
      <c r="A424" s="41" t="s">
        <v>21</v>
      </c>
      <c r="B424" s="48" t="s">
        <v>76</v>
      </c>
      <c r="C424" s="48" t="s">
        <v>70</v>
      </c>
      <c r="D424" s="48" t="s">
        <v>169</v>
      </c>
      <c r="E424" s="48" t="s">
        <v>90</v>
      </c>
      <c r="F424" s="48" t="s">
        <v>113</v>
      </c>
      <c r="G424" s="50"/>
      <c r="H424" s="50"/>
      <c r="I424" s="50"/>
      <c r="J424" s="50"/>
      <c r="K424" s="50"/>
      <c r="L424" s="50"/>
      <c r="M424" s="50"/>
      <c r="N424" s="31"/>
      <c r="O424" s="31"/>
    </row>
    <row r="425" spans="1:15" ht="15.75" customHeight="1">
      <c r="A425" s="41" t="s">
        <v>22</v>
      </c>
      <c r="B425" s="48" t="s">
        <v>76</v>
      </c>
      <c r="C425" s="48" t="s">
        <v>70</v>
      </c>
      <c r="D425" s="48" t="s">
        <v>169</v>
      </c>
      <c r="E425" s="48" t="s">
        <v>90</v>
      </c>
      <c r="F425" s="48" t="s">
        <v>114</v>
      </c>
      <c r="G425" s="50">
        <f>I425+J425+K425+H425</f>
        <v>1612.3971199999999</v>
      </c>
      <c r="H425" s="50">
        <f aca="true" t="shared" si="215" ref="H425:M425">H427+H428+H429+H430</f>
        <v>491.29573</v>
      </c>
      <c r="I425" s="50">
        <f t="shared" si="215"/>
        <v>378.47019</v>
      </c>
      <c r="J425" s="50">
        <f t="shared" si="215"/>
        <v>83.69173</v>
      </c>
      <c r="K425" s="50">
        <f t="shared" si="215"/>
        <v>658.9394699999999</v>
      </c>
      <c r="L425" s="51">
        <f t="shared" si="215"/>
        <v>1519.7</v>
      </c>
      <c r="M425" s="51">
        <f t="shared" si="215"/>
        <v>1580.6999999999998</v>
      </c>
      <c r="N425" s="31"/>
      <c r="O425" s="31"/>
    </row>
    <row r="426" spans="1:15" ht="11.25" customHeight="1">
      <c r="A426" s="41" t="s">
        <v>23</v>
      </c>
      <c r="B426" s="48" t="s">
        <v>76</v>
      </c>
      <c r="C426" s="48" t="s">
        <v>70</v>
      </c>
      <c r="D426" s="48" t="s">
        <v>169</v>
      </c>
      <c r="E426" s="48" t="s">
        <v>90</v>
      </c>
      <c r="F426" s="48"/>
      <c r="G426" s="50"/>
      <c r="H426" s="50"/>
      <c r="I426" s="50"/>
      <c r="J426" s="50"/>
      <c r="K426" s="50"/>
      <c r="L426" s="50"/>
      <c r="M426" s="50"/>
      <c r="N426" s="31"/>
      <c r="O426" s="31"/>
    </row>
    <row r="427" spans="1:15" ht="15.75" customHeight="1">
      <c r="A427" s="41" t="s">
        <v>24</v>
      </c>
      <c r="B427" s="48" t="s">
        <v>76</v>
      </c>
      <c r="C427" s="48" t="s">
        <v>70</v>
      </c>
      <c r="D427" s="48" t="s">
        <v>169</v>
      </c>
      <c r="E427" s="48" t="s">
        <v>90</v>
      </c>
      <c r="F427" s="48" t="s">
        <v>262</v>
      </c>
      <c r="G427" s="50">
        <f>H427+I427+J427+K427</f>
        <v>1175.87407</v>
      </c>
      <c r="H427" s="50">
        <f>439.9-50.53909</f>
        <v>389.36091</v>
      </c>
      <c r="I427" s="50">
        <f>153.5+50.53909+55.53645+19.4678</f>
        <v>279.04334</v>
      </c>
      <c r="J427" s="45">
        <v>0</v>
      </c>
      <c r="K427" s="50">
        <f>429.7-55.53645-19.4678+152.77407</f>
        <v>507.46981999999997</v>
      </c>
      <c r="L427" s="51">
        <v>1064</v>
      </c>
      <c r="M427" s="51">
        <v>1106.6</v>
      </c>
      <c r="N427" s="31"/>
      <c r="O427" s="31"/>
    </row>
    <row r="428" spans="1:15" ht="15.75" customHeight="1">
      <c r="A428" s="41" t="s">
        <v>25</v>
      </c>
      <c r="B428" s="48" t="s">
        <v>76</v>
      </c>
      <c r="C428" s="48" t="s">
        <v>70</v>
      </c>
      <c r="D428" s="48" t="s">
        <v>169</v>
      </c>
      <c r="E428" s="48" t="s">
        <v>90</v>
      </c>
      <c r="F428" s="48" t="s">
        <v>263</v>
      </c>
      <c r="G428" s="50">
        <f>H428+I428+J428+K428</f>
        <v>331.77057</v>
      </c>
      <c r="H428" s="50">
        <f>127.5-37.16846</f>
        <v>90.33153999999999</v>
      </c>
      <c r="I428" s="50">
        <f>85+37.16846-42.51397</f>
        <v>79.65449000000001</v>
      </c>
      <c r="J428" s="50">
        <f>85+42.51397-71.0028</f>
        <v>56.51117000000001</v>
      </c>
      <c r="K428" s="50">
        <f>127.5+71.0028-93.22943</f>
        <v>105.27336999999999</v>
      </c>
      <c r="L428" s="51">
        <v>442.4</v>
      </c>
      <c r="M428" s="51">
        <v>460.3</v>
      </c>
      <c r="N428" s="31"/>
      <c r="O428" s="31"/>
    </row>
    <row r="429" spans="1:15" ht="15.75" customHeight="1">
      <c r="A429" s="41" t="s">
        <v>26</v>
      </c>
      <c r="B429" s="48" t="s">
        <v>76</v>
      </c>
      <c r="C429" s="48" t="s">
        <v>70</v>
      </c>
      <c r="D429" s="48" t="s">
        <v>169</v>
      </c>
      <c r="E429" s="48" t="s">
        <v>90</v>
      </c>
      <c r="F429" s="48" t="s">
        <v>264</v>
      </c>
      <c r="G429" s="50">
        <f>H429+I429+J429+K429</f>
        <v>14.36784</v>
      </c>
      <c r="H429" s="50">
        <f>3.2+0.42152</f>
        <v>3.6215200000000003</v>
      </c>
      <c r="I429" s="50">
        <f>3.2-0.42152+1.03036</f>
        <v>3.80884</v>
      </c>
      <c r="J429" s="50">
        <f>3.2-1.03036+0.20388</f>
        <v>2.37352</v>
      </c>
      <c r="K429" s="50">
        <f>3.2-0.20388+1.56784</f>
        <v>4.56396</v>
      </c>
      <c r="L429" s="51">
        <v>13.3</v>
      </c>
      <c r="M429" s="51">
        <v>13.8</v>
      </c>
      <c r="N429" s="31"/>
      <c r="O429" s="31"/>
    </row>
    <row r="430" spans="1:15" ht="15.75" customHeight="1">
      <c r="A430" s="41" t="s">
        <v>440</v>
      </c>
      <c r="B430" s="48" t="s">
        <v>76</v>
      </c>
      <c r="C430" s="48" t="s">
        <v>70</v>
      </c>
      <c r="D430" s="48" t="s">
        <v>169</v>
      </c>
      <c r="E430" s="48" t="s">
        <v>90</v>
      </c>
      <c r="F430" s="48" t="s">
        <v>441</v>
      </c>
      <c r="G430" s="50">
        <f>H430+I430+J430+K430</f>
        <v>90.38463999999999</v>
      </c>
      <c r="H430" s="50">
        <f>15.96352-7.98176</f>
        <v>7.98176</v>
      </c>
      <c r="I430" s="50">
        <f>23.94528+7.98176-15.96352</f>
        <v>15.96352</v>
      </c>
      <c r="J430" s="50">
        <f>25.23792+15.96352-16.3944</f>
        <v>24.807039999999997</v>
      </c>
      <c r="K430" s="50">
        <f>25.23792+16.3944</f>
        <v>41.63232</v>
      </c>
      <c r="L430" s="45">
        <v>0</v>
      </c>
      <c r="M430" s="45">
        <v>0</v>
      </c>
      <c r="N430" s="31"/>
      <c r="O430" s="31"/>
    </row>
    <row r="431" spans="1:15" ht="15.75" customHeight="1">
      <c r="A431" s="41" t="s">
        <v>308</v>
      </c>
      <c r="B431" s="48" t="s">
        <v>76</v>
      </c>
      <c r="C431" s="48" t="s">
        <v>70</v>
      </c>
      <c r="D431" s="48" t="s">
        <v>169</v>
      </c>
      <c r="E431" s="48" t="s">
        <v>90</v>
      </c>
      <c r="F431" s="48" t="s">
        <v>91</v>
      </c>
      <c r="G431" s="50">
        <f>H431+I431+J431+K431</f>
        <v>32.01536</v>
      </c>
      <c r="H431" s="51">
        <f>27.6-15.96352-7.63648</f>
        <v>4.000000000000001</v>
      </c>
      <c r="I431" s="50">
        <f>27.6-23.94528+7.63648+2.69056</f>
        <v>13.98176</v>
      </c>
      <c r="J431" s="51">
        <f>2.2336+3.8-2.0336</f>
        <v>4</v>
      </c>
      <c r="K431" s="49">
        <f>8+2.0336</f>
        <v>10.0336</v>
      </c>
      <c r="L431" s="51">
        <v>110.4</v>
      </c>
      <c r="M431" s="51">
        <v>110.4</v>
      </c>
      <c r="N431" s="31"/>
      <c r="O431" s="31"/>
    </row>
    <row r="432" spans="1:15" ht="15.75" customHeight="1" hidden="1">
      <c r="A432" s="41" t="s">
        <v>64</v>
      </c>
      <c r="B432" s="48" t="s">
        <v>76</v>
      </c>
      <c r="C432" s="48" t="s">
        <v>70</v>
      </c>
      <c r="D432" s="48" t="s">
        <v>169</v>
      </c>
      <c r="E432" s="48" t="s">
        <v>90</v>
      </c>
      <c r="F432" s="48" t="s">
        <v>91</v>
      </c>
      <c r="G432" s="50"/>
      <c r="H432" s="50"/>
      <c r="I432" s="50"/>
      <c r="J432" s="50"/>
      <c r="K432" s="50"/>
      <c r="L432" s="50"/>
      <c r="M432" s="50"/>
      <c r="N432" s="31"/>
      <c r="O432" s="31"/>
    </row>
    <row r="433" spans="1:15" ht="15.75" customHeight="1" hidden="1">
      <c r="A433" s="41" t="s">
        <v>27</v>
      </c>
      <c r="B433" s="48" t="s">
        <v>76</v>
      </c>
      <c r="C433" s="48" t="s">
        <v>70</v>
      </c>
      <c r="D433" s="48" t="s">
        <v>169</v>
      </c>
      <c r="E433" s="48" t="s">
        <v>90</v>
      </c>
      <c r="F433" s="48" t="s">
        <v>91</v>
      </c>
      <c r="G433" s="50">
        <f>H433+I433+J433+K433</f>
        <v>0</v>
      </c>
      <c r="H433" s="50"/>
      <c r="I433" s="50"/>
      <c r="J433" s="50"/>
      <c r="K433" s="50"/>
      <c r="L433" s="50"/>
      <c r="M433" s="50"/>
      <c r="N433" s="31"/>
      <c r="O433" s="31"/>
    </row>
    <row r="434" spans="1:15" ht="15.75" customHeight="1" hidden="1">
      <c r="A434" s="41" t="s">
        <v>65</v>
      </c>
      <c r="B434" s="48" t="s">
        <v>76</v>
      </c>
      <c r="C434" s="48" t="s">
        <v>70</v>
      </c>
      <c r="D434" s="48" t="s">
        <v>169</v>
      </c>
      <c r="E434" s="48" t="s">
        <v>90</v>
      </c>
      <c r="F434" s="48" t="s">
        <v>91</v>
      </c>
      <c r="G434" s="50"/>
      <c r="H434" s="50"/>
      <c r="I434" s="50"/>
      <c r="J434" s="50"/>
      <c r="K434" s="50"/>
      <c r="L434" s="50"/>
      <c r="M434" s="50"/>
      <c r="N434" s="31"/>
      <c r="O434" s="31"/>
    </row>
    <row r="435" spans="1:15" ht="15.75" customHeight="1" hidden="1">
      <c r="A435" s="41" t="s">
        <v>66</v>
      </c>
      <c r="B435" s="48" t="s">
        <v>76</v>
      </c>
      <c r="C435" s="48" t="s">
        <v>70</v>
      </c>
      <c r="D435" s="48" t="s">
        <v>169</v>
      </c>
      <c r="E435" s="48" t="s">
        <v>90</v>
      </c>
      <c r="F435" s="48" t="s">
        <v>91</v>
      </c>
      <c r="G435" s="50"/>
      <c r="H435" s="50"/>
      <c r="I435" s="50"/>
      <c r="J435" s="50"/>
      <c r="K435" s="50"/>
      <c r="L435" s="50"/>
      <c r="M435" s="50"/>
      <c r="N435" s="31"/>
      <c r="O435" s="31"/>
    </row>
    <row r="436" spans="1:15" ht="15.75" customHeight="1">
      <c r="A436" s="43" t="s">
        <v>305</v>
      </c>
      <c r="B436" s="48" t="s">
        <v>76</v>
      </c>
      <c r="C436" s="48" t="s">
        <v>70</v>
      </c>
      <c r="D436" s="48" t="s">
        <v>169</v>
      </c>
      <c r="E436" s="48" t="s">
        <v>90</v>
      </c>
      <c r="F436" s="48" t="s">
        <v>92</v>
      </c>
      <c r="G436" s="50">
        <f>H436+I436+J436+K436</f>
        <v>96.08752000000001</v>
      </c>
      <c r="H436" s="51">
        <f>42.2-31.2</f>
        <v>11.000000000000004</v>
      </c>
      <c r="I436" s="51">
        <f>42.2+31.2-56.9</f>
        <v>16.500000000000007</v>
      </c>
      <c r="J436" s="51">
        <f>42.3+56.9-11.8-76.4</f>
        <v>10.999999999999986</v>
      </c>
      <c r="K436" s="50">
        <f>42.3+76.4-61.11248</f>
        <v>57.587520000000005</v>
      </c>
      <c r="L436" s="51">
        <v>169.1</v>
      </c>
      <c r="M436" s="51">
        <v>169</v>
      </c>
      <c r="N436" s="31"/>
      <c r="O436" s="31"/>
    </row>
    <row r="437" spans="1:15" ht="15.75" customHeight="1" hidden="1">
      <c r="A437" s="41" t="s">
        <v>30</v>
      </c>
      <c r="B437" s="48" t="s">
        <v>76</v>
      </c>
      <c r="C437" s="48" t="s">
        <v>70</v>
      </c>
      <c r="D437" s="48" t="s">
        <v>169</v>
      </c>
      <c r="E437" s="48" t="s">
        <v>90</v>
      </c>
      <c r="F437" s="48" t="s">
        <v>115</v>
      </c>
      <c r="G437" s="50"/>
      <c r="H437" s="50"/>
      <c r="I437" s="50"/>
      <c r="J437" s="50"/>
      <c r="K437" s="50"/>
      <c r="L437" s="50"/>
      <c r="M437" s="50"/>
      <c r="N437" s="31"/>
      <c r="O437" s="31"/>
    </row>
    <row r="438" spans="1:15" ht="15.75" customHeight="1">
      <c r="A438" s="41" t="s">
        <v>270</v>
      </c>
      <c r="B438" s="48" t="s">
        <v>76</v>
      </c>
      <c r="C438" s="48" t="s">
        <v>70</v>
      </c>
      <c r="D438" s="48" t="s">
        <v>169</v>
      </c>
      <c r="E438" s="48" t="s">
        <v>90</v>
      </c>
      <c r="F438" s="48" t="s">
        <v>116</v>
      </c>
      <c r="G438" s="49">
        <f>H438+I438+J438+K438</f>
        <v>206.86380000000003</v>
      </c>
      <c r="H438" s="53">
        <f>49.7+27+20.6-20.932</f>
        <v>76.36800000000001</v>
      </c>
      <c r="I438" s="53">
        <f>49.7-27+20.932+4.062</f>
        <v>47.694</v>
      </c>
      <c r="J438" s="53">
        <f>49.7-4.062+10-7.944</f>
        <v>47.694</v>
      </c>
      <c r="K438" s="49">
        <f>49.8-10+7.944-12.6362</f>
        <v>35.1078</v>
      </c>
      <c r="L438" s="51">
        <v>199</v>
      </c>
      <c r="M438" s="51">
        <v>199</v>
      </c>
      <c r="N438" s="31"/>
      <c r="O438" s="31"/>
    </row>
    <row r="439" spans="1:15" ht="54" customHeight="1">
      <c r="A439" s="43" t="s">
        <v>332</v>
      </c>
      <c r="B439" s="90" t="s">
        <v>76</v>
      </c>
      <c r="C439" s="90" t="s">
        <v>70</v>
      </c>
      <c r="D439" s="90" t="s">
        <v>213</v>
      </c>
      <c r="E439" s="90" t="s">
        <v>131</v>
      </c>
      <c r="F439" s="90"/>
      <c r="G439" s="102">
        <f>H439+I439+J439+K439</f>
        <v>196.6362</v>
      </c>
      <c r="H439" s="101">
        <f aca="true" t="shared" si="216" ref="H439:M439">H440</f>
        <v>73</v>
      </c>
      <c r="I439" s="102">
        <f t="shared" si="216"/>
        <v>82.2748</v>
      </c>
      <c r="J439" s="101">
        <f t="shared" si="216"/>
        <v>26.25</v>
      </c>
      <c r="K439" s="102">
        <f t="shared" si="216"/>
        <v>15.1114</v>
      </c>
      <c r="L439" s="101">
        <f t="shared" si="216"/>
        <v>184</v>
      </c>
      <c r="M439" s="101">
        <f t="shared" si="216"/>
        <v>184</v>
      </c>
      <c r="N439" s="31"/>
      <c r="O439" s="31"/>
    </row>
    <row r="440" spans="1:15" ht="18" customHeight="1">
      <c r="A440" s="41" t="s">
        <v>19</v>
      </c>
      <c r="B440" s="48" t="s">
        <v>76</v>
      </c>
      <c r="C440" s="48" t="s">
        <v>70</v>
      </c>
      <c r="D440" s="90" t="s">
        <v>213</v>
      </c>
      <c r="E440" s="48" t="s">
        <v>90</v>
      </c>
      <c r="F440" s="48" t="s">
        <v>111</v>
      </c>
      <c r="G440" s="49">
        <f>H440+I440+J440+K440</f>
        <v>196.6362</v>
      </c>
      <c r="H440" s="51">
        <f aca="true" t="shared" si="217" ref="H440:M440">H441+H442</f>
        <v>73</v>
      </c>
      <c r="I440" s="49">
        <f t="shared" si="217"/>
        <v>82.2748</v>
      </c>
      <c r="J440" s="51">
        <f t="shared" si="217"/>
        <v>26.25</v>
      </c>
      <c r="K440" s="49">
        <f t="shared" si="217"/>
        <v>15.1114</v>
      </c>
      <c r="L440" s="51">
        <f t="shared" si="217"/>
        <v>184</v>
      </c>
      <c r="M440" s="51">
        <f t="shared" si="217"/>
        <v>184</v>
      </c>
      <c r="N440" s="31"/>
      <c r="O440" s="31"/>
    </row>
    <row r="441" spans="1:15" ht="24" customHeight="1">
      <c r="A441" s="43" t="s">
        <v>305</v>
      </c>
      <c r="B441" s="48" t="s">
        <v>76</v>
      </c>
      <c r="C441" s="48" t="s">
        <v>70</v>
      </c>
      <c r="D441" s="48" t="s">
        <v>213</v>
      </c>
      <c r="E441" s="48" t="s">
        <v>90</v>
      </c>
      <c r="F441" s="48" t="s">
        <v>92</v>
      </c>
      <c r="G441" s="51">
        <f>H441+I441+J441+K441</f>
        <v>150</v>
      </c>
      <c r="H441" s="51">
        <f>35+35</f>
        <v>70</v>
      </c>
      <c r="I441" s="51">
        <v>80</v>
      </c>
      <c r="J441" s="45">
        <v>0</v>
      </c>
      <c r="K441" s="45">
        <v>0</v>
      </c>
      <c r="L441" s="45">
        <v>0</v>
      </c>
      <c r="M441" s="45">
        <v>0</v>
      </c>
      <c r="N441" s="31"/>
      <c r="O441" s="31"/>
    </row>
    <row r="442" spans="1:15" ht="18" customHeight="1">
      <c r="A442" s="43" t="s">
        <v>330</v>
      </c>
      <c r="B442" s="48" t="s">
        <v>76</v>
      </c>
      <c r="C442" s="48" t="s">
        <v>70</v>
      </c>
      <c r="D442" s="48" t="s">
        <v>213</v>
      </c>
      <c r="E442" s="48" t="s">
        <v>90</v>
      </c>
      <c r="F442" s="48" t="s">
        <v>268</v>
      </c>
      <c r="G442" s="49">
        <f>H442+I442+J442+K442</f>
        <v>46.6362</v>
      </c>
      <c r="H442" s="51">
        <f>46-35-8</f>
        <v>3</v>
      </c>
      <c r="I442" s="49">
        <f>46-27-17.5852+0.86</f>
        <v>2.2747999999999995</v>
      </c>
      <c r="J442" s="51">
        <f>28.7252-2.4752</f>
        <v>26.25</v>
      </c>
      <c r="K442" s="49">
        <f>2.4752+12.6362</f>
        <v>15.1114</v>
      </c>
      <c r="L442" s="51">
        <v>184</v>
      </c>
      <c r="M442" s="51">
        <v>184</v>
      </c>
      <c r="N442" s="31"/>
      <c r="O442" s="31"/>
    </row>
    <row r="443" spans="1:15" ht="42.75" customHeight="1">
      <c r="A443" s="43" t="s">
        <v>442</v>
      </c>
      <c r="B443" s="92" t="s">
        <v>76</v>
      </c>
      <c r="C443" s="92" t="s">
        <v>70</v>
      </c>
      <c r="D443" s="92" t="s">
        <v>443</v>
      </c>
      <c r="E443" s="48" t="s">
        <v>131</v>
      </c>
      <c r="F443" s="48"/>
      <c r="G443" s="45">
        <f aca="true" t="shared" si="218" ref="G443:M443">G444</f>
        <v>0</v>
      </c>
      <c r="H443" s="50" t="str">
        <f t="shared" si="218"/>
        <v>0</v>
      </c>
      <c r="I443" s="45">
        <f t="shared" si="218"/>
        <v>0</v>
      </c>
      <c r="J443" s="45">
        <f t="shared" si="218"/>
        <v>0</v>
      </c>
      <c r="K443" s="45">
        <f t="shared" si="218"/>
        <v>0</v>
      </c>
      <c r="L443" s="51">
        <f t="shared" si="218"/>
        <v>2247.6</v>
      </c>
      <c r="M443" s="45">
        <f t="shared" si="218"/>
        <v>0</v>
      </c>
      <c r="N443" s="31"/>
      <c r="O443" s="31"/>
    </row>
    <row r="444" spans="1:32" ht="27" customHeight="1">
      <c r="A444" s="43" t="s">
        <v>32</v>
      </c>
      <c r="B444" s="92" t="s">
        <v>76</v>
      </c>
      <c r="C444" s="92" t="s">
        <v>70</v>
      </c>
      <c r="D444" s="92" t="s">
        <v>443</v>
      </c>
      <c r="E444" s="48" t="s">
        <v>106</v>
      </c>
      <c r="F444" s="48" t="s">
        <v>118</v>
      </c>
      <c r="G444" s="45">
        <f>H444+I444+J444+K444</f>
        <v>0</v>
      </c>
      <c r="H444" s="50" t="s">
        <v>444</v>
      </c>
      <c r="I444" s="45">
        <v>0</v>
      </c>
      <c r="J444" s="45">
        <v>0</v>
      </c>
      <c r="K444" s="45">
        <f>5-5</f>
        <v>0</v>
      </c>
      <c r="L444" s="51">
        <v>2247.6</v>
      </c>
      <c r="M444" s="45">
        <v>0</v>
      </c>
      <c r="N444" s="31"/>
      <c r="O444" s="31"/>
      <c r="AD444" s="12">
        <f>G444+G477+G485</f>
        <v>599.64624</v>
      </c>
      <c r="AE444" s="12">
        <f>L444+L477+L485</f>
        <v>3208.2</v>
      </c>
      <c r="AF444" s="12">
        <f>M444+M477+M485</f>
        <v>960.6</v>
      </c>
    </row>
    <row r="445" spans="1:32" ht="57" customHeight="1">
      <c r="A445" s="43" t="s">
        <v>333</v>
      </c>
      <c r="B445" s="48" t="s">
        <v>76</v>
      </c>
      <c r="C445" s="48" t="s">
        <v>70</v>
      </c>
      <c r="D445" s="48" t="s">
        <v>170</v>
      </c>
      <c r="E445" s="48" t="s">
        <v>131</v>
      </c>
      <c r="F445" s="55"/>
      <c r="G445" s="50">
        <f>H445+I445+J445+K445</f>
        <v>2288.39736</v>
      </c>
      <c r="H445" s="50">
        <f aca="true" t="shared" si="219" ref="H445:M445">H446+H450+H462+H463</f>
        <v>419.13821</v>
      </c>
      <c r="I445" s="50">
        <f t="shared" si="219"/>
        <v>453.9732899999999</v>
      </c>
      <c r="J445" s="50">
        <f t="shared" si="219"/>
        <v>453.18273000000005</v>
      </c>
      <c r="K445" s="50">
        <f t="shared" si="219"/>
        <v>962.1031300000001</v>
      </c>
      <c r="L445" s="51">
        <f t="shared" si="219"/>
        <v>2280.7</v>
      </c>
      <c r="M445" s="51">
        <f t="shared" si="219"/>
        <v>2286.7999999999997</v>
      </c>
      <c r="N445" s="31"/>
      <c r="O445" s="31"/>
      <c r="AD445" s="12"/>
      <c r="AE445" s="12"/>
      <c r="AF445" s="12"/>
    </row>
    <row r="446" spans="1:30" ht="26.25" customHeight="1">
      <c r="A446" s="43" t="s">
        <v>15</v>
      </c>
      <c r="B446" s="48" t="s">
        <v>76</v>
      </c>
      <c r="C446" s="48" t="s">
        <v>70</v>
      </c>
      <c r="D446" s="48" t="s">
        <v>170</v>
      </c>
      <c r="E446" s="48" t="s">
        <v>105</v>
      </c>
      <c r="F446" s="48" t="s">
        <v>107</v>
      </c>
      <c r="G446" s="51">
        <f>H446+I446+J446+K446</f>
        <v>1714.5</v>
      </c>
      <c r="H446" s="50">
        <f aca="true" t="shared" si="220" ref="H446:M446">H447+H449</f>
        <v>317.26716</v>
      </c>
      <c r="I446" s="50">
        <f t="shared" si="220"/>
        <v>320.5215999999999</v>
      </c>
      <c r="J446" s="50">
        <f t="shared" si="220"/>
        <v>342.35762</v>
      </c>
      <c r="K446" s="50">
        <f t="shared" si="220"/>
        <v>734.35362</v>
      </c>
      <c r="L446" s="51">
        <f t="shared" si="220"/>
        <v>1714.5</v>
      </c>
      <c r="M446" s="51">
        <f t="shared" si="220"/>
        <v>1714.5</v>
      </c>
      <c r="N446" s="31"/>
      <c r="O446" s="31"/>
      <c r="AD446" s="40">
        <f>G446+G477+G485</f>
        <v>2314.14624</v>
      </c>
    </row>
    <row r="447" spans="1:15" ht="15.75" customHeight="1">
      <c r="A447" s="41" t="s">
        <v>16</v>
      </c>
      <c r="B447" s="48" t="s">
        <v>76</v>
      </c>
      <c r="C447" s="48" t="s">
        <v>70</v>
      </c>
      <c r="D447" s="48" t="s">
        <v>170</v>
      </c>
      <c r="E447" s="48" t="s">
        <v>90</v>
      </c>
      <c r="F447" s="48" t="s">
        <v>108</v>
      </c>
      <c r="G447" s="51">
        <f>H447+I447+J447+K447</f>
        <v>1316.8</v>
      </c>
      <c r="H447" s="50">
        <f>263.4-27.24328</f>
        <v>236.15671999999998</v>
      </c>
      <c r="I447" s="50">
        <f>329.2+27.24328-97.93925</f>
        <v>258.50402999999994</v>
      </c>
      <c r="J447" s="50">
        <f>329.2+97.93925-178.84978</f>
        <v>248.28947</v>
      </c>
      <c r="K447" s="50">
        <f>395+178.84978</f>
        <v>573.84978</v>
      </c>
      <c r="L447" s="51">
        <v>1316.8</v>
      </c>
      <c r="M447" s="51">
        <v>1316.8</v>
      </c>
      <c r="N447" s="31"/>
      <c r="O447" s="31"/>
    </row>
    <row r="448" spans="1:15" ht="15.75" customHeight="1" hidden="1">
      <c r="A448" s="41" t="s">
        <v>17</v>
      </c>
      <c r="B448" s="48" t="s">
        <v>76</v>
      </c>
      <c r="C448" s="48" t="s">
        <v>70</v>
      </c>
      <c r="D448" s="48" t="s">
        <v>170</v>
      </c>
      <c r="E448" s="48" t="s">
        <v>90</v>
      </c>
      <c r="F448" s="48" t="s">
        <v>109</v>
      </c>
      <c r="G448" s="50"/>
      <c r="H448" s="50"/>
      <c r="I448" s="50"/>
      <c r="J448" s="50"/>
      <c r="K448" s="50"/>
      <c r="L448" s="50"/>
      <c r="M448" s="50"/>
      <c r="N448" s="31"/>
      <c r="O448" s="31"/>
    </row>
    <row r="449" spans="1:15" ht="15.75" customHeight="1">
      <c r="A449" s="41" t="s">
        <v>18</v>
      </c>
      <c r="B449" s="48" t="s">
        <v>76</v>
      </c>
      <c r="C449" s="48" t="s">
        <v>70</v>
      </c>
      <c r="D449" s="48" t="s">
        <v>170</v>
      </c>
      <c r="E449" s="48" t="s">
        <v>90</v>
      </c>
      <c r="F449" s="48" t="s">
        <v>110</v>
      </c>
      <c r="G449" s="51">
        <f>H449+I449+J449+K449</f>
        <v>397.7</v>
      </c>
      <c r="H449" s="50">
        <f>79.5+1.61044</f>
        <v>81.11044</v>
      </c>
      <c r="I449" s="50">
        <f>99.5-1.61044-35.87199</f>
        <v>62.017570000000006</v>
      </c>
      <c r="J449" s="50">
        <f>99.5+35.87199-41.30384</f>
        <v>94.06814999999997</v>
      </c>
      <c r="K449" s="50">
        <f>119.2+41.30384</f>
        <v>160.50384</v>
      </c>
      <c r="L449" s="51">
        <v>397.7</v>
      </c>
      <c r="M449" s="51">
        <v>397.7</v>
      </c>
      <c r="N449" s="31"/>
      <c r="O449" s="31"/>
    </row>
    <row r="450" spans="1:38" ht="14.25" customHeight="1">
      <c r="A450" s="41" t="s">
        <v>19</v>
      </c>
      <c r="B450" s="48" t="s">
        <v>76</v>
      </c>
      <c r="C450" s="48" t="s">
        <v>70</v>
      </c>
      <c r="D450" s="48" t="s">
        <v>170</v>
      </c>
      <c r="E450" s="48" t="s">
        <v>90</v>
      </c>
      <c r="F450" s="48" t="s">
        <v>111</v>
      </c>
      <c r="G450" s="50">
        <f>H450+I450+J450+K450</f>
        <v>532.08236</v>
      </c>
      <c r="H450" s="50">
        <f aca="true" t="shared" si="221" ref="H450:M450">H451+H453+H460+H459</f>
        <v>94.40705</v>
      </c>
      <c r="I450" s="50">
        <f t="shared" si="221"/>
        <v>127.17969</v>
      </c>
      <c r="J450" s="50">
        <f t="shared" si="221"/>
        <v>96.41011</v>
      </c>
      <c r="K450" s="50">
        <f t="shared" si="221"/>
        <v>214.08551</v>
      </c>
      <c r="L450" s="51">
        <f t="shared" si="221"/>
        <v>538</v>
      </c>
      <c r="M450" s="51">
        <f t="shared" si="221"/>
        <v>544.1</v>
      </c>
      <c r="N450" s="18">
        <f aca="true" t="shared" si="222" ref="N450:AL450">N451+N453+N460</f>
        <v>0</v>
      </c>
      <c r="O450" s="18">
        <f t="shared" si="222"/>
        <v>0</v>
      </c>
      <c r="P450" s="18">
        <f t="shared" si="222"/>
        <v>0</v>
      </c>
      <c r="Q450" s="18">
        <f t="shared" si="222"/>
        <v>0</v>
      </c>
      <c r="R450" s="18">
        <f t="shared" si="222"/>
        <v>0</v>
      </c>
      <c r="S450" s="18">
        <f t="shared" si="222"/>
        <v>0</v>
      </c>
      <c r="T450" s="18">
        <f t="shared" si="222"/>
        <v>0</v>
      </c>
      <c r="U450" s="18">
        <f t="shared" si="222"/>
        <v>0</v>
      </c>
      <c r="V450" s="18">
        <f t="shared" si="222"/>
        <v>0</v>
      </c>
      <c r="W450" s="18">
        <f t="shared" si="222"/>
        <v>0</v>
      </c>
      <c r="X450" s="18">
        <f t="shared" si="222"/>
        <v>0</v>
      </c>
      <c r="Y450" s="18">
        <f t="shared" si="222"/>
        <v>0</v>
      </c>
      <c r="Z450" s="18">
        <f t="shared" si="222"/>
        <v>0</v>
      </c>
      <c r="AA450" s="18">
        <f t="shared" si="222"/>
        <v>0</v>
      </c>
      <c r="AB450" s="18">
        <f t="shared" si="222"/>
        <v>0</v>
      </c>
      <c r="AC450" s="18">
        <f t="shared" si="222"/>
        <v>0</v>
      </c>
      <c r="AD450" s="18">
        <f t="shared" si="222"/>
        <v>0</v>
      </c>
      <c r="AE450" s="18">
        <f t="shared" si="222"/>
        <v>0</v>
      </c>
      <c r="AF450" s="18">
        <f t="shared" si="222"/>
        <v>0</v>
      </c>
      <c r="AG450" s="18">
        <f t="shared" si="222"/>
        <v>0</v>
      </c>
      <c r="AH450" s="18">
        <f t="shared" si="222"/>
        <v>0</v>
      </c>
      <c r="AI450" s="18">
        <f t="shared" si="222"/>
        <v>0</v>
      </c>
      <c r="AJ450" s="18">
        <f t="shared" si="222"/>
        <v>0</v>
      </c>
      <c r="AK450" s="18">
        <f t="shared" si="222"/>
        <v>0</v>
      </c>
      <c r="AL450" s="18">
        <f t="shared" si="222"/>
        <v>0</v>
      </c>
    </row>
    <row r="451" spans="1:15" ht="15.75" customHeight="1">
      <c r="A451" s="41" t="s">
        <v>20</v>
      </c>
      <c r="B451" s="48" t="s">
        <v>76</v>
      </c>
      <c r="C451" s="48" t="s">
        <v>70</v>
      </c>
      <c r="D451" s="48" t="s">
        <v>170</v>
      </c>
      <c r="E451" s="48" t="s">
        <v>90</v>
      </c>
      <c r="F451" s="48" t="s">
        <v>112</v>
      </c>
      <c r="G451" s="51">
        <f>H451+I451+J451+K451</f>
        <v>15.899999999999999</v>
      </c>
      <c r="H451" s="53">
        <f>3.9-1.244</f>
        <v>2.6559999999999997</v>
      </c>
      <c r="I451" s="50">
        <f>4+1.244-1.68894</f>
        <v>3.5550599999999997</v>
      </c>
      <c r="J451" s="50">
        <f>4+1.68894-2.13347</f>
        <v>3.5554700000000006</v>
      </c>
      <c r="K451" s="50">
        <f>4+2.13347</f>
        <v>6.13347</v>
      </c>
      <c r="L451" s="51">
        <v>16.5</v>
      </c>
      <c r="M451" s="51">
        <v>17.1</v>
      </c>
      <c r="N451" s="31"/>
      <c r="O451" s="31"/>
    </row>
    <row r="452" spans="1:15" ht="15.75" customHeight="1" hidden="1">
      <c r="A452" s="41" t="s">
        <v>21</v>
      </c>
      <c r="B452" s="48" t="s">
        <v>76</v>
      </c>
      <c r="C452" s="48" t="s">
        <v>70</v>
      </c>
      <c r="D452" s="48" t="s">
        <v>170</v>
      </c>
      <c r="E452" s="48" t="s">
        <v>90</v>
      </c>
      <c r="F452" s="48" t="s">
        <v>113</v>
      </c>
      <c r="G452" s="50"/>
      <c r="H452" s="50"/>
      <c r="I452" s="50"/>
      <c r="J452" s="50"/>
      <c r="K452" s="50"/>
      <c r="L452" s="50"/>
      <c r="M452" s="50"/>
      <c r="N452" s="31"/>
      <c r="O452" s="31"/>
    </row>
    <row r="453" spans="1:15" ht="15.75" customHeight="1">
      <c r="A453" s="41" t="s">
        <v>22</v>
      </c>
      <c r="B453" s="48" t="s">
        <v>76</v>
      </c>
      <c r="C453" s="48" t="s">
        <v>70</v>
      </c>
      <c r="D453" s="48" t="s">
        <v>170</v>
      </c>
      <c r="E453" s="48" t="s">
        <v>90</v>
      </c>
      <c r="F453" s="48" t="s">
        <v>114</v>
      </c>
      <c r="G453" s="50">
        <f>H453+I453+J453+K453</f>
        <v>136.68744</v>
      </c>
      <c r="H453" s="50">
        <f aca="true" t="shared" si="223" ref="H453:M453">H455+H456+H457+H458</f>
        <v>31.69673</v>
      </c>
      <c r="I453" s="50">
        <f t="shared" si="223"/>
        <v>22.11479</v>
      </c>
      <c r="J453" s="50">
        <f t="shared" si="223"/>
        <v>8.35061</v>
      </c>
      <c r="K453" s="50">
        <f t="shared" si="223"/>
        <v>74.52531</v>
      </c>
      <c r="L453" s="51">
        <f t="shared" si="223"/>
        <v>137</v>
      </c>
      <c r="M453" s="51">
        <f t="shared" si="223"/>
        <v>142.5</v>
      </c>
      <c r="N453" s="31"/>
      <c r="O453" s="31"/>
    </row>
    <row r="454" spans="1:15" ht="12" customHeight="1">
      <c r="A454" s="41" t="s">
        <v>23</v>
      </c>
      <c r="B454" s="48" t="s">
        <v>76</v>
      </c>
      <c r="C454" s="48" t="s">
        <v>70</v>
      </c>
      <c r="D454" s="48" t="s">
        <v>170</v>
      </c>
      <c r="E454" s="48" t="s">
        <v>90</v>
      </c>
      <c r="F454" s="48"/>
      <c r="G454" s="50"/>
      <c r="H454" s="50"/>
      <c r="I454" s="50"/>
      <c r="J454" s="50"/>
      <c r="K454" s="50"/>
      <c r="L454" s="51"/>
      <c r="M454" s="51"/>
      <c r="N454" s="31"/>
      <c r="O454" s="31"/>
    </row>
    <row r="455" spans="1:15" ht="12.75" customHeight="1">
      <c r="A455" s="41" t="s">
        <v>24</v>
      </c>
      <c r="B455" s="48" t="s">
        <v>76</v>
      </c>
      <c r="C455" s="48" t="s">
        <v>70</v>
      </c>
      <c r="D455" s="48" t="s">
        <v>170</v>
      </c>
      <c r="E455" s="48" t="s">
        <v>90</v>
      </c>
      <c r="F455" s="48" t="s">
        <v>262</v>
      </c>
      <c r="G455" s="51">
        <f>H455+I455+J455+K455</f>
        <v>91.5</v>
      </c>
      <c r="H455" s="50">
        <f>39.3-13.18148</f>
        <v>26.118519999999997</v>
      </c>
      <c r="I455" s="50">
        <f>13.7+13.18148-11.16313</f>
        <v>15.71835</v>
      </c>
      <c r="J455" s="45">
        <f>11.16313-11.16313</f>
        <v>0</v>
      </c>
      <c r="K455" s="50">
        <f>38.5+11.16313</f>
        <v>49.66313</v>
      </c>
      <c r="L455" s="51">
        <v>95.2</v>
      </c>
      <c r="M455" s="51">
        <v>99</v>
      </c>
      <c r="N455" s="31"/>
      <c r="O455" s="31"/>
    </row>
    <row r="456" spans="1:15" ht="15.75" customHeight="1">
      <c r="A456" s="41" t="s">
        <v>25</v>
      </c>
      <c r="B456" s="48" t="s">
        <v>76</v>
      </c>
      <c r="C456" s="48" t="s">
        <v>70</v>
      </c>
      <c r="D456" s="48" t="s">
        <v>170</v>
      </c>
      <c r="E456" s="48" t="s">
        <v>90</v>
      </c>
      <c r="F456" s="48" t="s">
        <v>263</v>
      </c>
      <c r="G456" s="50">
        <f>H456+I456+J456+K456</f>
        <v>39.51268</v>
      </c>
      <c r="H456" s="50">
        <f>11.9-6.44667</f>
        <v>5.45333</v>
      </c>
      <c r="I456" s="50">
        <f>7.9+6.44667-9.34979</f>
        <v>4.996879999999999</v>
      </c>
      <c r="J456" s="50">
        <f>7.9+9.34979-10.40512</f>
        <v>6.844670000000001</v>
      </c>
      <c r="K456" s="49">
        <f>11.9+10.40512-0.08732</f>
        <v>22.217800000000004</v>
      </c>
      <c r="L456" s="51">
        <v>41.2</v>
      </c>
      <c r="M456" s="51">
        <v>42.9</v>
      </c>
      <c r="N456" s="31"/>
      <c r="O456" s="31"/>
    </row>
    <row r="457" spans="1:15" ht="12.75" customHeight="1">
      <c r="A457" s="41" t="s">
        <v>26</v>
      </c>
      <c r="B457" s="48" t="s">
        <v>76</v>
      </c>
      <c r="C457" s="48" t="s">
        <v>70</v>
      </c>
      <c r="D457" s="48" t="s">
        <v>170</v>
      </c>
      <c r="E457" s="48" t="s">
        <v>90</v>
      </c>
      <c r="F457" s="48" t="s">
        <v>264</v>
      </c>
      <c r="G457" s="50">
        <f>H457+I457+J457+K457</f>
        <v>0.6873199999999999</v>
      </c>
      <c r="H457" s="50">
        <f>0.1+0.02488</f>
        <v>0.12488</v>
      </c>
      <c r="I457" s="50">
        <f>0.1-0.02488+0.1122</f>
        <v>0.18732</v>
      </c>
      <c r="J457" s="50">
        <f>0.2-0.1122+0.16228</f>
        <v>0.25008</v>
      </c>
      <c r="K457" s="50">
        <f>0.2-0.16228+0.08732</f>
        <v>0.12503999999999998</v>
      </c>
      <c r="L457" s="51">
        <v>0.6</v>
      </c>
      <c r="M457" s="51">
        <v>0.6</v>
      </c>
      <c r="N457" s="31"/>
      <c r="O457" s="31"/>
    </row>
    <row r="458" spans="1:15" ht="13.5" customHeight="1">
      <c r="A458" s="41" t="s">
        <v>440</v>
      </c>
      <c r="B458" s="48" t="s">
        <v>76</v>
      </c>
      <c r="C458" s="48" t="s">
        <v>70</v>
      </c>
      <c r="D458" s="48" t="s">
        <v>170</v>
      </c>
      <c r="E458" s="48" t="s">
        <v>90</v>
      </c>
      <c r="F458" s="48" t="s">
        <v>441</v>
      </c>
      <c r="G458" s="50">
        <f>H458+I458+J458+K458</f>
        <v>4.987439999999999</v>
      </c>
      <c r="H458" s="45">
        <f>1.21224-1.21224</f>
        <v>0</v>
      </c>
      <c r="I458" s="50">
        <f>1.21224+1.21224-1.21224</f>
        <v>1.21224</v>
      </c>
      <c r="J458" s="50">
        <f>1.28148+1.21224-1.23786</f>
        <v>1.2558599999999998</v>
      </c>
      <c r="K458" s="50">
        <f>1.28148+1.23786</f>
        <v>2.5193399999999997</v>
      </c>
      <c r="L458" s="45">
        <v>0</v>
      </c>
      <c r="M458" s="45">
        <v>0</v>
      </c>
      <c r="N458" s="31"/>
      <c r="O458" s="31"/>
    </row>
    <row r="459" spans="1:15" ht="12.75" customHeight="1">
      <c r="A459" s="41" t="s">
        <v>308</v>
      </c>
      <c r="B459" s="48" t="s">
        <v>76</v>
      </c>
      <c r="C459" s="48" t="s">
        <v>70</v>
      </c>
      <c r="D459" s="48" t="s">
        <v>170</v>
      </c>
      <c r="E459" s="48" t="s">
        <v>90</v>
      </c>
      <c r="F459" s="48" t="s">
        <v>91</v>
      </c>
      <c r="G459" s="50">
        <f>J459+K459+H459+I459</f>
        <v>138.54846</v>
      </c>
      <c r="H459" s="50">
        <f>30.6-1.21224-9.79464</f>
        <v>19.59312</v>
      </c>
      <c r="I459" s="50">
        <f>30.6-1.21224+9.79464-7.04496</f>
        <v>32.13744</v>
      </c>
      <c r="J459" s="50">
        <f>30.6-1.28148+7.04496+5.94875</f>
        <v>42.31223</v>
      </c>
      <c r="K459" s="50">
        <f>30.7-1.28148-5.94875+21.0359</f>
        <v>44.50567</v>
      </c>
      <c r="L459" s="51">
        <v>122.6</v>
      </c>
      <c r="M459" s="51">
        <v>122.6</v>
      </c>
      <c r="N459" s="31"/>
      <c r="O459" s="31"/>
    </row>
    <row r="460" spans="1:15" ht="15.75" customHeight="1">
      <c r="A460" s="43" t="s">
        <v>305</v>
      </c>
      <c r="B460" s="48" t="s">
        <v>76</v>
      </c>
      <c r="C460" s="48" t="s">
        <v>70</v>
      </c>
      <c r="D460" s="48" t="s">
        <v>170</v>
      </c>
      <c r="E460" s="48" t="s">
        <v>90</v>
      </c>
      <c r="F460" s="48" t="s">
        <v>92</v>
      </c>
      <c r="G460" s="50">
        <f>J460+K460+I460+H460</f>
        <v>240.94646</v>
      </c>
      <c r="H460" s="49">
        <f>65.4+16.95-41.8888</f>
        <v>40.461200000000005</v>
      </c>
      <c r="I460" s="50">
        <f>65.5+41.8888-38.0164</f>
        <v>69.3724</v>
      </c>
      <c r="J460" s="49">
        <f>65.5+38.0164-7.415-53.9096</f>
        <v>42.1918</v>
      </c>
      <c r="K460" s="50">
        <f>65.5+53.9096-3.25264-27.2359</f>
        <v>88.92106</v>
      </c>
      <c r="L460" s="51">
        <v>261.9</v>
      </c>
      <c r="M460" s="51">
        <v>261.9</v>
      </c>
      <c r="N460" s="31"/>
      <c r="O460" s="31"/>
    </row>
    <row r="461" spans="1:15" ht="15.75" customHeight="1" hidden="1">
      <c r="A461" s="41" t="s">
        <v>30</v>
      </c>
      <c r="B461" s="48" t="s">
        <v>76</v>
      </c>
      <c r="C461" s="48" t="s">
        <v>70</v>
      </c>
      <c r="D461" s="48" t="s">
        <v>170</v>
      </c>
      <c r="E461" s="48" t="s">
        <v>90</v>
      </c>
      <c r="F461" s="48" t="s">
        <v>115</v>
      </c>
      <c r="G461" s="50"/>
      <c r="H461" s="50"/>
      <c r="I461" s="50"/>
      <c r="J461" s="50"/>
      <c r="K461" s="50"/>
      <c r="L461" s="50"/>
      <c r="M461" s="50"/>
      <c r="N461" s="31"/>
      <c r="O461" s="31"/>
    </row>
    <row r="462" spans="1:15" ht="15.75" customHeight="1">
      <c r="A462" s="41" t="s">
        <v>270</v>
      </c>
      <c r="B462" s="48" t="s">
        <v>76</v>
      </c>
      <c r="C462" s="48" t="s">
        <v>70</v>
      </c>
      <c r="D462" s="48" t="s">
        <v>170</v>
      </c>
      <c r="E462" s="48" t="s">
        <v>90</v>
      </c>
      <c r="F462" s="48" t="s">
        <v>116</v>
      </c>
      <c r="G462" s="51">
        <f>H462+I462+J462+K462</f>
        <v>28.2</v>
      </c>
      <c r="H462" s="53">
        <f>7+0.5-0.036</f>
        <v>7.464</v>
      </c>
      <c r="I462" s="50">
        <f>7-0.5+0.036-0.264</f>
        <v>6.271999999999999</v>
      </c>
      <c r="J462" s="51">
        <f>7.1+0.264-0.364</f>
        <v>7</v>
      </c>
      <c r="K462" s="53">
        <f>7.1+0.364</f>
        <v>7.4639999999999995</v>
      </c>
      <c r="L462" s="51">
        <v>28.2</v>
      </c>
      <c r="M462" s="51">
        <v>28.2</v>
      </c>
      <c r="N462" s="31"/>
      <c r="O462" s="31"/>
    </row>
    <row r="463" spans="1:38" ht="16.5" customHeight="1">
      <c r="A463" s="43" t="s">
        <v>31</v>
      </c>
      <c r="B463" s="48" t="s">
        <v>76</v>
      </c>
      <c r="C463" s="48" t="s">
        <v>70</v>
      </c>
      <c r="D463" s="48" t="s">
        <v>170</v>
      </c>
      <c r="E463" s="48" t="s">
        <v>105</v>
      </c>
      <c r="F463" s="48" t="s">
        <v>117</v>
      </c>
      <c r="G463" s="53">
        <f>G464+G465</f>
        <v>13.615</v>
      </c>
      <c r="H463" s="45">
        <f aca="true" t="shared" si="224" ref="H463:AL463">H464+H465</f>
        <v>0</v>
      </c>
      <c r="I463" s="45">
        <f t="shared" si="224"/>
        <v>0</v>
      </c>
      <c r="J463" s="53">
        <f t="shared" si="224"/>
        <v>7.415</v>
      </c>
      <c r="K463" s="51">
        <f t="shared" si="224"/>
        <v>6.2</v>
      </c>
      <c r="L463" s="45">
        <f t="shared" si="224"/>
        <v>0</v>
      </c>
      <c r="M463" s="45">
        <f t="shared" si="224"/>
        <v>0</v>
      </c>
      <c r="N463" s="54">
        <f t="shared" si="224"/>
        <v>0</v>
      </c>
      <c r="O463" s="54">
        <f t="shared" si="224"/>
        <v>0</v>
      </c>
      <c r="P463" s="54">
        <f t="shared" si="224"/>
        <v>0</v>
      </c>
      <c r="Q463" s="54">
        <f t="shared" si="224"/>
        <v>0</v>
      </c>
      <c r="R463" s="54">
        <f t="shared" si="224"/>
        <v>0</v>
      </c>
      <c r="S463" s="54">
        <f t="shared" si="224"/>
        <v>0</v>
      </c>
      <c r="T463" s="54">
        <f t="shared" si="224"/>
        <v>0</v>
      </c>
      <c r="U463" s="54">
        <f t="shared" si="224"/>
        <v>0</v>
      </c>
      <c r="V463" s="54">
        <f t="shared" si="224"/>
        <v>0</v>
      </c>
      <c r="W463" s="54">
        <f t="shared" si="224"/>
        <v>0</v>
      </c>
      <c r="X463" s="54">
        <f t="shared" si="224"/>
        <v>0</v>
      </c>
      <c r="Y463" s="54">
        <f t="shared" si="224"/>
        <v>0</v>
      </c>
      <c r="Z463" s="54">
        <f t="shared" si="224"/>
        <v>0</v>
      </c>
      <c r="AA463" s="54">
        <f t="shared" si="224"/>
        <v>0</v>
      </c>
      <c r="AB463" s="54">
        <f t="shared" si="224"/>
        <v>0</v>
      </c>
      <c r="AC463" s="54">
        <f t="shared" si="224"/>
        <v>0</v>
      </c>
      <c r="AD463" s="54">
        <f t="shared" si="224"/>
        <v>0</v>
      </c>
      <c r="AE463" s="54">
        <f t="shared" si="224"/>
        <v>0</v>
      </c>
      <c r="AF463" s="54">
        <f t="shared" si="224"/>
        <v>0</v>
      </c>
      <c r="AG463" s="54">
        <f t="shared" si="224"/>
        <v>0</v>
      </c>
      <c r="AH463" s="54">
        <f t="shared" si="224"/>
        <v>0</v>
      </c>
      <c r="AI463" s="54">
        <f t="shared" si="224"/>
        <v>0</v>
      </c>
      <c r="AJ463" s="54">
        <f t="shared" si="224"/>
        <v>0</v>
      </c>
      <c r="AK463" s="54">
        <f t="shared" si="224"/>
        <v>0</v>
      </c>
      <c r="AL463" s="54">
        <f t="shared" si="224"/>
        <v>0</v>
      </c>
    </row>
    <row r="464" spans="1:15" ht="13.5" customHeight="1" hidden="1">
      <c r="A464" s="43" t="s">
        <v>32</v>
      </c>
      <c r="B464" s="48" t="s">
        <v>76</v>
      </c>
      <c r="C464" s="48" t="s">
        <v>70</v>
      </c>
      <c r="D464" s="48" t="s">
        <v>170</v>
      </c>
      <c r="E464" s="48" t="s">
        <v>90</v>
      </c>
      <c r="F464" s="48" t="s">
        <v>118</v>
      </c>
      <c r="G464" s="45">
        <f>J464+K464+H464+I464</f>
        <v>0</v>
      </c>
      <c r="H464" s="45">
        <v>0</v>
      </c>
      <c r="I464" s="45">
        <f>97.36-97.36</f>
        <v>0</v>
      </c>
      <c r="J464" s="45">
        <f>97.36-97.36</f>
        <v>0</v>
      </c>
      <c r="K464" s="45">
        <v>0</v>
      </c>
      <c r="L464" s="45">
        <f>97.36-97.36</f>
        <v>0</v>
      </c>
      <c r="M464" s="45">
        <v>0</v>
      </c>
      <c r="N464" s="31"/>
      <c r="O464" s="31"/>
    </row>
    <row r="465" spans="1:15" ht="15.75" customHeight="1">
      <c r="A465" s="43" t="s">
        <v>33</v>
      </c>
      <c r="B465" s="48" t="s">
        <v>76</v>
      </c>
      <c r="C465" s="48" t="s">
        <v>70</v>
      </c>
      <c r="D465" s="48" t="s">
        <v>170</v>
      </c>
      <c r="E465" s="48" t="s">
        <v>90</v>
      </c>
      <c r="F465" s="48" t="s">
        <v>119</v>
      </c>
      <c r="G465" s="53">
        <f>J465+K465+H465+I465</f>
        <v>13.615</v>
      </c>
      <c r="H465" s="45">
        <f aca="true" t="shared" si="225" ref="H465:M465">H468</f>
        <v>0</v>
      </c>
      <c r="I465" s="45">
        <f t="shared" si="225"/>
        <v>0</v>
      </c>
      <c r="J465" s="53">
        <f t="shared" si="225"/>
        <v>7.415</v>
      </c>
      <c r="K465" s="51">
        <f t="shared" si="225"/>
        <v>6.2</v>
      </c>
      <c r="L465" s="45">
        <f t="shared" si="225"/>
        <v>0</v>
      </c>
      <c r="M465" s="45">
        <f t="shared" si="225"/>
        <v>0</v>
      </c>
      <c r="N465" s="31"/>
      <c r="O465" s="31"/>
    </row>
    <row r="466" spans="1:15" ht="12.75" customHeight="1">
      <c r="A466" s="43" t="s">
        <v>23</v>
      </c>
      <c r="B466" s="48" t="s">
        <v>76</v>
      </c>
      <c r="C466" s="48" t="s">
        <v>70</v>
      </c>
      <c r="D466" s="48" t="s">
        <v>170</v>
      </c>
      <c r="E466" s="48" t="s">
        <v>90</v>
      </c>
      <c r="F466" s="48"/>
      <c r="G466" s="50"/>
      <c r="H466" s="50"/>
      <c r="I466" s="50"/>
      <c r="J466" s="50"/>
      <c r="K466" s="50"/>
      <c r="L466" s="50"/>
      <c r="M466" s="50"/>
      <c r="N466" s="31"/>
      <c r="O466" s="31"/>
    </row>
    <row r="467" spans="1:15" ht="14.25" customHeight="1" hidden="1">
      <c r="A467" s="43" t="s">
        <v>34</v>
      </c>
      <c r="B467" s="48" t="s">
        <v>76</v>
      </c>
      <c r="C467" s="48" t="s">
        <v>70</v>
      </c>
      <c r="D467" s="48" t="s">
        <v>170</v>
      </c>
      <c r="E467" s="48" t="s">
        <v>90</v>
      </c>
      <c r="F467" s="48" t="s">
        <v>119</v>
      </c>
      <c r="G467" s="50"/>
      <c r="H467" s="50"/>
      <c r="I467" s="50"/>
      <c r="J467" s="50"/>
      <c r="K467" s="50"/>
      <c r="L467" s="50"/>
      <c r="M467" s="50"/>
      <c r="N467" s="31"/>
      <c r="O467" s="31"/>
    </row>
    <row r="468" spans="1:15" ht="15.75" customHeight="1">
      <c r="A468" s="43" t="s">
        <v>35</v>
      </c>
      <c r="B468" s="48" t="s">
        <v>76</v>
      </c>
      <c r="C468" s="48" t="s">
        <v>70</v>
      </c>
      <c r="D468" s="48" t="s">
        <v>170</v>
      </c>
      <c r="E468" s="48" t="s">
        <v>90</v>
      </c>
      <c r="F468" s="48" t="s">
        <v>268</v>
      </c>
      <c r="G468" s="53">
        <f>J468+K468+H468+I468</f>
        <v>13.615</v>
      </c>
      <c r="H468" s="45">
        <v>0</v>
      </c>
      <c r="I468" s="45">
        <v>0</v>
      </c>
      <c r="J468" s="53">
        <v>7.415</v>
      </c>
      <c r="K468" s="51">
        <v>6.2</v>
      </c>
      <c r="L468" s="45">
        <v>0</v>
      </c>
      <c r="M468" s="45">
        <v>0</v>
      </c>
      <c r="N468" s="31"/>
      <c r="O468" s="31"/>
    </row>
    <row r="469" spans="1:15" ht="41.25" customHeight="1">
      <c r="A469" s="93" t="s">
        <v>445</v>
      </c>
      <c r="B469" s="48" t="s">
        <v>76</v>
      </c>
      <c r="C469" s="48" t="s">
        <v>70</v>
      </c>
      <c r="D469" s="48" t="s">
        <v>446</v>
      </c>
      <c r="E469" s="48" t="s">
        <v>131</v>
      </c>
      <c r="F469" s="48"/>
      <c r="G469" s="51">
        <f aca="true" t="shared" si="226" ref="G469:G476">H469+I469+J469+K469</f>
        <v>65.05</v>
      </c>
      <c r="H469" s="45">
        <f aca="true" t="shared" si="227" ref="H469:M469">H470</f>
        <v>0</v>
      </c>
      <c r="I469" s="45">
        <f t="shared" si="227"/>
        <v>0</v>
      </c>
      <c r="J469" s="45">
        <f t="shared" si="227"/>
        <v>0</v>
      </c>
      <c r="K469" s="51">
        <f t="shared" si="227"/>
        <v>65.05</v>
      </c>
      <c r="L469" s="45">
        <f t="shared" si="227"/>
        <v>0</v>
      </c>
      <c r="M469" s="45">
        <f t="shared" si="227"/>
        <v>0</v>
      </c>
      <c r="N469" s="31"/>
      <c r="O469" s="31"/>
    </row>
    <row r="470" spans="1:15" ht="15.75" customHeight="1">
      <c r="A470" s="43" t="s">
        <v>265</v>
      </c>
      <c r="B470" s="48" t="s">
        <v>76</v>
      </c>
      <c r="C470" s="48" t="s">
        <v>70</v>
      </c>
      <c r="D470" s="48" t="s">
        <v>446</v>
      </c>
      <c r="E470" s="48" t="s">
        <v>106</v>
      </c>
      <c r="F470" s="48" t="s">
        <v>53</v>
      </c>
      <c r="G470" s="51">
        <f t="shared" si="226"/>
        <v>65.05</v>
      </c>
      <c r="H470" s="45">
        <f>5-5</f>
        <v>0</v>
      </c>
      <c r="I470" s="45">
        <f>5+5-10</f>
        <v>0</v>
      </c>
      <c r="J470" s="45">
        <v>0</v>
      </c>
      <c r="K470" s="51">
        <f>61.8+3.25264-0.00264</f>
        <v>65.05</v>
      </c>
      <c r="L470" s="45">
        <v>0</v>
      </c>
      <c r="M470" s="45">
        <v>0</v>
      </c>
      <c r="N470" s="31"/>
      <c r="O470" s="31"/>
    </row>
    <row r="471" spans="1:15" ht="52.5" customHeight="1">
      <c r="A471" s="61" t="s">
        <v>334</v>
      </c>
      <c r="B471" s="48" t="s">
        <v>76</v>
      </c>
      <c r="C471" s="48" t="s">
        <v>70</v>
      </c>
      <c r="D471" s="48" t="s">
        <v>230</v>
      </c>
      <c r="E471" s="48" t="s">
        <v>131</v>
      </c>
      <c r="F471" s="48"/>
      <c r="G471" s="51">
        <f t="shared" si="226"/>
        <v>20</v>
      </c>
      <c r="H471" s="45">
        <f aca="true" t="shared" si="228" ref="H471:M471">H472</f>
        <v>0</v>
      </c>
      <c r="I471" s="45">
        <f t="shared" si="228"/>
        <v>0</v>
      </c>
      <c r="J471" s="51">
        <f t="shared" si="228"/>
        <v>20</v>
      </c>
      <c r="K471" s="45">
        <f t="shared" si="228"/>
        <v>0</v>
      </c>
      <c r="L471" s="51">
        <f t="shared" si="228"/>
        <v>20</v>
      </c>
      <c r="M471" s="51">
        <f t="shared" si="228"/>
        <v>20</v>
      </c>
      <c r="N471" s="31"/>
      <c r="O471" s="31"/>
    </row>
    <row r="472" spans="1:15" ht="15.75" customHeight="1">
      <c r="A472" s="43" t="s">
        <v>265</v>
      </c>
      <c r="B472" s="48" t="s">
        <v>76</v>
      </c>
      <c r="C472" s="48" t="s">
        <v>70</v>
      </c>
      <c r="D472" s="48" t="s">
        <v>230</v>
      </c>
      <c r="E472" s="48" t="s">
        <v>106</v>
      </c>
      <c r="F472" s="48" t="s">
        <v>118</v>
      </c>
      <c r="G472" s="51">
        <f t="shared" si="226"/>
        <v>20</v>
      </c>
      <c r="H472" s="45">
        <f>5-5</f>
        <v>0</v>
      </c>
      <c r="I472" s="45">
        <f>5+5-10</f>
        <v>0</v>
      </c>
      <c r="J472" s="51">
        <f>5+10+5</f>
        <v>20</v>
      </c>
      <c r="K472" s="45">
        <f>5-5</f>
        <v>0</v>
      </c>
      <c r="L472" s="51">
        <v>20</v>
      </c>
      <c r="M472" s="51">
        <v>20</v>
      </c>
      <c r="N472" s="31"/>
      <c r="O472" s="31"/>
    </row>
    <row r="473" spans="1:36" ht="42.75" customHeight="1">
      <c r="A473" s="61" t="s">
        <v>335</v>
      </c>
      <c r="B473" s="94" t="s">
        <v>76</v>
      </c>
      <c r="C473" s="94" t="s">
        <v>70</v>
      </c>
      <c r="D473" s="94" t="s">
        <v>271</v>
      </c>
      <c r="E473" s="95" t="s">
        <v>131</v>
      </c>
      <c r="F473" s="55"/>
      <c r="G473" s="56">
        <f t="shared" si="226"/>
        <v>5265.45376</v>
      </c>
      <c r="H473" s="57">
        <f aca="true" t="shared" si="229" ref="H473:M473">H474</f>
        <v>1693.212</v>
      </c>
      <c r="I473" s="57">
        <f t="shared" si="229"/>
        <v>873.1760000000002</v>
      </c>
      <c r="J473" s="57">
        <f t="shared" si="229"/>
        <v>1287.7279999999998</v>
      </c>
      <c r="K473" s="56">
        <f t="shared" si="229"/>
        <v>1411.33776</v>
      </c>
      <c r="L473" s="58">
        <f t="shared" si="229"/>
        <v>4668.5</v>
      </c>
      <c r="M473" s="58">
        <f t="shared" si="229"/>
        <v>4668.5</v>
      </c>
      <c r="N473" s="31"/>
      <c r="O473" s="31"/>
      <c r="R473" s="36"/>
      <c r="S473" s="36"/>
      <c r="T473" s="37"/>
      <c r="U473" s="37"/>
      <c r="AD473" s="12">
        <f>G473+G477</f>
        <v>5682.6</v>
      </c>
      <c r="AJ473" s="12">
        <f>G473+G481</f>
        <v>6415.9097600000005</v>
      </c>
    </row>
    <row r="474" spans="1:15" ht="15.75" customHeight="1">
      <c r="A474" s="43" t="s">
        <v>15</v>
      </c>
      <c r="B474" s="48" t="s">
        <v>76</v>
      </c>
      <c r="C474" s="48" t="s">
        <v>70</v>
      </c>
      <c r="D474" s="92" t="s">
        <v>271</v>
      </c>
      <c r="E474" s="41">
        <v>610</v>
      </c>
      <c r="F474" s="48" t="s">
        <v>107</v>
      </c>
      <c r="G474" s="50">
        <f t="shared" si="226"/>
        <v>5265.45376</v>
      </c>
      <c r="H474" s="53">
        <f aca="true" t="shared" si="230" ref="H474:M474">H475+H476</f>
        <v>1693.212</v>
      </c>
      <c r="I474" s="53">
        <f t="shared" si="230"/>
        <v>873.1760000000002</v>
      </c>
      <c r="J474" s="53">
        <f t="shared" si="230"/>
        <v>1287.7279999999998</v>
      </c>
      <c r="K474" s="50">
        <f t="shared" si="230"/>
        <v>1411.33776</v>
      </c>
      <c r="L474" s="51">
        <f t="shared" si="230"/>
        <v>4668.5</v>
      </c>
      <c r="M474" s="51">
        <f t="shared" si="230"/>
        <v>4668.5</v>
      </c>
      <c r="N474" s="31"/>
      <c r="O474" s="31"/>
    </row>
    <row r="475" spans="1:15" ht="15.75" customHeight="1">
      <c r="A475" s="41" t="s">
        <v>16</v>
      </c>
      <c r="B475" s="48" t="s">
        <v>76</v>
      </c>
      <c r="C475" s="48" t="s">
        <v>70</v>
      </c>
      <c r="D475" s="92" t="s">
        <v>271</v>
      </c>
      <c r="E475" s="41">
        <v>611</v>
      </c>
      <c r="F475" s="48" t="s">
        <v>108</v>
      </c>
      <c r="G475" s="50">
        <f t="shared" si="226"/>
        <v>4228.53843</v>
      </c>
      <c r="H475" s="53">
        <f>896.4+99.028+331.718</f>
        <v>1327.146</v>
      </c>
      <c r="I475" s="53">
        <f>896.4-331.718+158.776+0.2</f>
        <v>723.6580000000001</v>
      </c>
      <c r="J475" s="50">
        <f>896.4-0.2+141.22487+0.2</f>
        <v>1037.6248699999999</v>
      </c>
      <c r="K475" s="50">
        <f>896.5-0.2+181.26+62.54916+0.0004</f>
        <v>1140.1095599999999</v>
      </c>
      <c r="L475" s="51">
        <v>3585.7</v>
      </c>
      <c r="M475" s="51">
        <v>3585.7</v>
      </c>
      <c r="N475" s="31"/>
      <c r="O475" s="31"/>
    </row>
    <row r="476" spans="1:15" ht="15.75" customHeight="1">
      <c r="A476" s="41" t="s">
        <v>17</v>
      </c>
      <c r="B476" s="48" t="s">
        <v>76</v>
      </c>
      <c r="C476" s="48" t="s">
        <v>70</v>
      </c>
      <c r="D476" s="92" t="s">
        <v>271</v>
      </c>
      <c r="E476" s="41">
        <v>611</v>
      </c>
      <c r="F476" s="48" t="s">
        <v>110</v>
      </c>
      <c r="G476" s="50">
        <f t="shared" si="226"/>
        <v>1036.91533</v>
      </c>
      <c r="H476" s="53">
        <f>270.7-4.782+100.148</f>
        <v>366.06600000000003</v>
      </c>
      <c r="I476" s="53">
        <f>270.7-100.148-21.034</f>
        <v>149.518</v>
      </c>
      <c r="J476" s="50">
        <f>270.7-20.59687</f>
        <v>250.10313</v>
      </c>
      <c r="K476" s="50">
        <f>270.7+54.74-54.212+0.0002</f>
        <v>271.2282</v>
      </c>
      <c r="L476" s="51">
        <v>1082.8</v>
      </c>
      <c r="M476" s="51">
        <v>1082.8</v>
      </c>
      <c r="N476" s="31"/>
      <c r="O476" s="31"/>
    </row>
    <row r="477" spans="1:26" ht="40.5" customHeight="1">
      <c r="A477" s="61" t="s">
        <v>335</v>
      </c>
      <c r="B477" s="94" t="s">
        <v>76</v>
      </c>
      <c r="C477" s="94" t="s">
        <v>70</v>
      </c>
      <c r="D477" s="94" t="s">
        <v>271</v>
      </c>
      <c r="E477" s="95" t="s">
        <v>131</v>
      </c>
      <c r="F477" s="55"/>
      <c r="G477" s="56">
        <f aca="true" t="shared" si="231" ref="G477:G493">H477+I477+J477+K477</f>
        <v>417.14624000000003</v>
      </c>
      <c r="H477" s="57">
        <f aca="true" t="shared" si="232" ref="H477:M477">H478</f>
        <v>122.388</v>
      </c>
      <c r="I477" s="57">
        <f t="shared" si="232"/>
        <v>34.624</v>
      </c>
      <c r="J477" s="57">
        <f t="shared" si="232"/>
        <v>73.872</v>
      </c>
      <c r="K477" s="56">
        <f t="shared" si="232"/>
        <v>186.26224000000002</v>
      </c>
      <c r="L477" s="58">
        <f t="shared" si="232"/>
        <v>778.1</v>
      </c>
      <c r="M477" s="58">
        <f t="shared" si="232"/>
        <v>778.1</v>
      </c>
      <c r="N477" s="31"/>
      <c r="O477" s="31"/>
      <c r="S477" s="36"/>
      <c r="T477" s="36"/>
      <c r="U477" s="37"/>
      <c r="Z477" s="12"/>
    </row>
    <row r="478" spans="1:19" ht="15.75" customHeight="1">
      <c r="A478" s="43" t="s">
        <v>15</v>
      </c>
      <c r="B478" s="48" t="s">
        <v>76</v>
      </c>
      <c r="C478" s="48" t="s">
        <v>70</v>
      </c>
      <c r="D478" s="92" t="s">
        <v>271</v>
      </c>
      <c r="E478" s="41">
        <v>610</v>
      </c>
      <c r="F478" s="48" t="s">
        <v>107</v>
      </c>
      <c r="G478" s="50">
        <f t="shared" si="231"/>
        <v>417.14624000000003</v>
      </c>
      <c r="H478" s="53">
        <f aca="true" t="shared" si="233" ref="H478:M478">H479+H480</f>
        <v>122.388</v>
      </c>
      <c r="I478" s="53">
        <f t="shared" si="233"/>
        <v>34.624</v>
      </c>
      <c r="J478" s="53">
        <f t="shared" si="233"/>
        <v>73.872</v>
      </c>
      <c r="K478" s="50">
        <f t="shared" si="233"/>
        <v>186.26224000000002</v>
      </c>
      <c r="L478" s="51">
        <f t="shared" si="233"/>
        <v>778.1</v>
      </c>
      <c r="M478" s="51">
        <f t="shared" si="233"/>
        <v>778.1</v>
      </c>
      <c r="N478" s="31"/>
      <c r="O478" s="31"/>
      <c r="S478" s="37"/>
    </row>
    <row r="479" spans="1:15" ht="15.75" customHeight="1">
      <c r="A479" s="41" t="s">
        <v>16</v>
      </c>
      <c r="B479" s="48" t="s">
        <v>76</v>
      </c>
      <c r="C479" s="48" t="s">
        <v>70</v>
      </c>
      <c r="D479" s="92" t="s">
        <v>271</v>
      </c>
      <c r="E479" s="41">
        <v>611</v>
      </c>
      <c r="F479" s="48" t="s">
        <v>108</v>
      </c>
      <c r="G479" s="50">
        <f t="shared" si="231"/>
        <v>356.07944</v>
      </c>
      <c r="H479" s="53">
        <f>149.4-64.4+17</f>
        <v>102</v>
      </c>
      <c r="I479" s="51">
        <f>149.4-17-101.4</f>
        <v>31</v>
      </c>
      <c r="J479" s="51">
        <f>149.4-86.4</f>
        <v>63</v>
      </c>
      <c r="K479" s="50">
        <f>149.4+10.67984-0.0004</f>
        <v>160.07944</v>
      </c>
      <c r="L479" s="51">
        <v>597.6</v>
      </c>
      <c r="M479" s="51">
        <v>597.6</v>
      </c>
      <c r="N479" s="31"/>
      <c r="O479" s="31"/>
    </row>
    <row r="480" spans="1:15" ht="15.75" customHeight="1">
      <c r="A480" s="41" t="s">
        <v>17</v>
      </c>
      <c r="B480" s="48" t="s">
        <v>76</v>
      </c>
      <c r="C480" s="48" t="s">
        <v>70</v>
      </c>
      <c r="D480" s="92" t="s">
        <v>271</v>
      </c>
      <c r="E480" s="41">
        <v>611</v>
      </c>
      <c r="F480" s="48" t="s">
        <v>110</v>
      </c>
      <c r="G480" s="50">
        <f t="shared" si="231"/>
        <v>61.0668</v>
      </c>
      <c r="H480" s="53">
        <f>45.1-29.846+5.134</f>
        <v>20.388</v>
      </c>
      <c r="I480" s="53">
        <f>45.1-5.134-36.342</f>
        <v>3.6240000000000023</v>
      </c>
      <c r="J480" s="53">
        <f>45.1-34.228</f>
        <v>10.872</v>
      </c>
      <c r="K480" s="49">
        <f>45.2-19.017-0.0002</f>
        <v>26.182800000000004</v>
      </c>
      <c r="L480" s="51">
        <v>180.5</v>
      </c>
      <c r="M480" s="51">
        <v>180.5</v>
      </c>
      <c r="N480" s="31"/>
      <c r="O480" s="31"/>
    </row>
    <row r="481" spans="1:30" ht="42.75" customHeight="1">
      <c r="A481" s="61" t="s">
        <v>335</v>
      </c>
      <c r="B481" s="94" t="s">
        <v>76</v>
      </c>
      <c r="C481" s="94" t="s">
        <v>70</v>
      </c>
      <c r="D481" s="94" t="s">
        <v>240</v>
      </c>
      <c r="E481" s="95" t="s">
        <v>131</v>
      </c>
      <c r="F481" s="55"/>
      <c r="G481" s="57">
        <f t="shared" si="231"/>
        <v>1150.4560000000001</v>
      </c>
      <c r="H481" s="58">
        <f aca="true" t="shared" si="234" ref="H481:M481">H482</f>
        <v>273.8</v>
      </c>
      <c r="I481" s="58">
        <f t="shared" si="234"/>
        <v>273.8</v>
      </c>
      <c r="J481" s="58">
        <f t="shared" si="234"/>
        <v>273.8</v>
      </c>
      <c r="K481" s="57">
        <f t="shared" si="234"/>
        <v>329.05600000000004</v>
      </c>
      <c r="L481" s="58">
        <f t="shared" si="234"/>
        <v>1095.2</v>
      </c>
      <c r="M481" s="58">
        <f t="shared" si="234"/>
        <v>1095.2</v>
      </c>
      <c r="N481" s="31"/>
      <c r="O481" s="31"/>
      <c r="AD481" s="12">
        <f>G481+G485</f>
        <v>1332.9560000000001</v>
      </c>
    </row>
    <row r="482" spans="1:15" ht="15.75" customHeight="1">
      <c r="A482" s="43" t="s">
        <v>15</v>
      </c>
      <c r="B482" s="48" t="s">
        <v>76</v>
      </c>
      <c r="C482" s="48" t="s">
        <v>70</v>
      </c>
      <c r="D482" s="92" t="s">
        <v>240</v>
      </c>
      <c r="E482" s="41">
        <v>610</v>
      </c>
      <c r="F482" s="48" t="s">
        <v>107</v>
      </c>
      <c r="G482" s="53">
        <f t="shared" si="231"/>
        <v>1150.4560000000001</v>
      </c>
      <c r="H482" s="51">
        <f aca="true" t="shared" si="235" ref="H482:M482">H483+H484</f>
        <v>273.8</v>
      </c>
      <c r="I482" s="51">
        <f t="shared" si="235"/>
        <v>273.8</v>
      </c>
      <c r="J482" s="51">
        <f t="shared" si="235"/>
        <v>273.8</v>
      </c>
      <c r="K482" s="53">
        <f t="shared" si="235"/>
        <v>329.05600000000004</v>
      </c>
      <c r="L482" s="51">
        <f t="shared" si="235"/>
        <v>1095.2</v>
      </c>
      <c r="M482" s="51">
        <f t="shared" si="235"/>
        <v>1095.2</v>
      </c>
      <c r="N482" s="31"/>
      <c r="O482" s="31"/>
    </row>
    <row r="483" spans="1:15" ht="15.75" customHeight="1">
      <c r="A483" s="41" t="s">
        <v>16</v>
      </c>
      <c r="B483" s="48" t="s">
        <v>76</v>
      </c>
      <c r="C483" s="48" t="s">
        <v>70</v>
      </c>
      <c r="D483" s="92" t="s">
        <v>240</v>
      </c>
      <c r="E483" s="41">
        <v>611</v>
      </c>
      <c r="F483" s="48" t="s">
        <v>108</v>
      </c>
      <c r="G483" s="53">
        <f t="shared" si="231"/>
        <v>883.6360000000001</v>
      </c>
      <c r="H483" s="51">
        <f>210.3-0.077+0.077</f>
        <v>210.3</v>
      </c>
      <c r="I483" s="51">
        <f>210.3+0.077-0.077</f>
        <v>210.3</v>
      </c>
      <c r="J483" s="51">
        <v>210.3</v>
      </c>
      <c r="K483" s="53">
        <f>210.3+42.436</f>
        <v>252.73600000000002</v>
      </c>
      <c r="L483" s="51">
        <v>841.2</v>
      </c>
      <c r="M483" s="51">
        <v>841.2</v>
      </c>
      <c r="N483" s="31"/>
      <c r="O483" s="31"/>
    </row>
    <row r="484" spans="1:15" ht="15.75" customHeight="1">
      <c r="A484" s="41" t="s">
        <v>17</v>
      </c>
      <c r="B484" s="48" t="s">
        <v>76</v>
      </c>
      <c r="C484" s="48" t="s">
        <v>70</v>
      </c>
      <c r="D484" s="92" t="s">
        <v>240</v>
      </c>
      <c r="E484" s="41">
        <v>611</v>
      </c>
      <c r="F484" s="48" t="s">
        <v>110</v>
      </c>
      <c r="G484" s="53">
        <f t="shared" si="231"/>
        <v>266.82</v>
      </c>
      <c r="H484" s="51">
        <f>63.5-0.023+0.023</f>
        <v>63.5</v>
      </c>
      <c r="I484" s="51">
        <f>63.5+0.023-0.023</f>
        <v>63.5</v>
      </c>
      <c r="J484" s="51">
        <v>63.5</v>
      </c>
      <c r="K484" s="53">
        <f>63.5+12.82</f>
        <v>76.32</v>
      </c>
      <c r="L484" s="51">
        <v>254</v>
      </c>
      <c r="M484" s="51">
        <v>254</v>
      </c>
      <c r="N484" s="31"/>
      <c r="O484" s="31"/>
    </row>
    <row r="485" spans="1:15" ht="42" customHeight="1">
      <c r="A485" s="61" t="s">
        <v>335</v>
      </c>
      <c r="B485" s="94" t="s">
        <v>76</v>
      </c>
      <c r="C485" s="94" t="s">
        <v>70</v>
      </c>
      <c r="D485" s="94" t="s">
        <v>240</v>
      </c>
      <c r="E485" s="95" t="s">
        <v>131</v>
      </c>
      <c r="F485" s="55"/>
      <c r="G485" s="58">
        <f t="shared" si="231"/>
        <v>182.5</v>
      </c>
      <c r="H485" s="58">
        <f aca="true" t="shared" si="236" ref="H485:M485">H486</f>
        <v>45.7</v>
      </c>
      <c r="I485" s="58">
        <f t="shared" si="236"/>
        <v>45.7</v>
      </c>
      <c r="J485" s="58">
        <f t="shared" si="236"/>
        <v>45.6</v>
      </c>
      <c r="K485" s="58">
        <f t="shared" si="236"/>
        <v>45.5</v>
      </c>
      <c r="L485" s="58">
        <f t="shared" si="236"/>
        <v>182.5</v>
      </c>
      <c r="M485" s="58">
        <f t="shared" si="236"/>
        <v>182.5</v>
      </c>
      <c r="N485" s="31"/>
      <c r="O485" s="31"/>
    </row>
    <row r="486" spans="1:15" ht="15.75" customHeight="1">
      <c r="A486" s="43" t="s">
        <v>15</v>
      </c>
      <c r="B486" s="48" t="s">
        <v>76</v>
      </c>
      <c r="C486" s="48" t="s">
        <v>70</v>
      </c>
      <c r="D486" s="92" t="s">
        <v>240</v>
      </c>
      <c r="E486" s="41">
        <v>610</v>
      </c>
      <c r="F486" s="48" t="s">
        <v>107</v>
      </c>
      <c r="G486" s="51">
        <f t="shared" si="231"/>
        <v>182.5</v>
      </c>
      <c r="H486" s="51">
        <f aca="true" t="shared" si="237" ref="H486:M486">H487+H488</f>
        <v>45.7</v>
      </c>
      <c r="I486" s="51">
        <f t="shared" si="237"/>
        <v>45.7</v>
      </c>
      <c r="J486" s="51">
        <f t="shared" si="237"/>
        <v>45.6</v>
      </c>
      <c r="K486" s="51">
        <f t="shared" si="237"/>
        <v>45.5</v>
      </c>
      <c r="L486" s="51">
        <f t="shared" si="237"/>
        <v>182.5</v>
      </c>
      <c r="M486" s="51">
        <f t="shared" si="237"/>
        <v>182.5</v>
      </c>
      <c r="N486" s="31"/>
      <c r="O486" s="31"/>
    </row>
    <row r="487" spans="1:15" ht="15.75" customHeight="1">
      <c r="A487" s="41" t="s">
        <v>16</v>
      </c>
      <c r="B487" s="48" t="s">
        <v>76</v>
      </c>
      <c r="C487" s="48" t="s">
        <v>70</v>
      </c>
      <c r="D487" s="92" t="s">
        <v>240</v>
      </c>
      <c r="E487" s="41">
        <v>611</v>
      </c>
      <c r="F487" s="48" t="s">
        <v>108</v>
      </c>
      <c r="G487" s="51">
        <f t="shared" si="231"/>
        <v>140.2</v>
      </c>
      <c r="H487" s="51">
        <v>35.1</v>
      </c>
      <c r="I487" s="51">
        <v>35.1</v>
      </c>
      <c r="J487" s="51">
        <v>35</v>
      </c>
      <c r="K487" s="51">
        <v>35</v>
      </c>
      <c r="L487" s="51">
        <v>140.2</v>
      </c>
      <c r="M487" s="51">
        <v>140.2</v>
      </c>
      <c r="N487" s="31"/>
      <c r="O487" s="31"/>
    </row>
    <row r="488" spans="1:15" ht="15.75" customHeight="1">
      <c r="A488" s="41" t="s">
        <v>17</v>
      </c>
      <c r="B488" s="48" t="s">
        <v>76</v>
      </c>
      <c r="C488" s="48" t="s">
        <v>70</v>
      </c>
      <c r="D488" s="92" t="s">
        <v>240</v>
      </c>
      <c r="E488" s="41">
        <v>611</v>
      </c>
      <c r="F488" s="48" t="s">
        <v>110</v>
      </c>
      <c r="G488" s="51">
        <f t="shared" si="231"/>
        <v>42.3</v>
      </c>
      <c r="H488" s="51">
        <v>10.6</v>
      </c>
      <c r="I488" s="51">
        <v>10.6</v>
      </c>
      <c r="J488" s="51">
        <v>10.6</v>
      </c>
      <c r="K488" s="51">
        <v>10.5</v>
      </c>
      <c r="L488" s="51">
        <v>42.3</v>
      </c>
      <c r="M488" s="51">
        <v>42.3</v>
      </c>
      <c r="N488" s="31"/>
      <c r="O488" s="31"/>
    </row>
    <row r="489" spans="1:26" ht="15.75" customHeight="1">
      <c r="A489" s="42" t="s">
        <v>171</v>
      </c>
      <c r="B489" s="55" t="s">
        <v>76</v>
      </c>
      <c r="C489" s="55" t="s">
        <v>172</v>
      </c>
      <c r="D489" s="55" t="s">
        <v>151</v>
      </c>
      <c r="E489" s="55" t="s">
        <v>59</v>
      </c>
      <c r="F489" s="55"/>
      <c r="G489" s="56">
        <f t="shared" si="231"/>
        <v>1491.9743600000002</v>
      </c>
      <c r="H489" s="56">
        <f aca="true" t="shared" si="238" ref="H489:M489">H490+H493+H498</f>
        <v>386.22199</v>
      </c>
      <c r="I489" s="56">
        <f t="shared" si="238"/>
        <v>574.0583300000001</v>
      </c>
      <c r="J489" s="56">
        <f t="shared" si="238"/>
        <v>320.20046</v>
      </c>
      <c r="K489" s="56">
        <f t="shared" si="238"/>
        <v>211.49358</v>
      </c>
      <c r="L489" s="58">
        <f t="shared" si="238"/>
        <v>1516.54</v>
      </c>
      <c r="M489" s="58">
        <f t="shared" si="238"/>
        <v>1482.1399999999999</v>
      </c>
      <c r="N489" s="31"/>
      <c r="O489" s="31"/>
      <c r="Z489" s="12">
        <f>G489</f>
        <v>1491.9743600000002</v>
      </c>
    </row>
    <row r="490" spans="1:15" ht="14.25" customHeight="1">
      <c r="A490" s="62" t="s">
        <v>79</v>
      </c>
      <c r="B490" s="55" t="s">
        <v>76</v>
      </c>
      <c r="C490" s="55" t="s">
        <v>80</v>
      </c>
      <c r="D490" s="55" t="s">
        <v>173</v>
      </c>
      <c r="E490" s="55" t="s">
        <v>52</v>
      </c>
      <c r="F490" s="55"/>
      <c r="G490" s="56">
        <f t="shared" si="231"/>
        <v>371.21492</v>
      </c>
      <c r="H490" s="56">
        <f aca="true" t="shared" si="239" ref="H490:M490">H491+H492</f>
        <v>88.62969</v>
      </c>
      <c r="I490" s="56">
        <f t="shared" si="239"/>
        <v>88.62966</v>
      </c>
      <c r="J490" s="56">
        <f t="shared" si="239"/>
        <v>95.30815999999999</v>
      </c>
      <c r="K490" s="56">
        <f t="shared" si="239"/>
        <v>98.64741000000001</v>
      </c>
      <c r="L490" s="58">
        <f t="shared" si="239"/>
        <v>411.9</v>
      </c>
      <c r="M490" s="58">
        <f t="shared" si="239"/>
        <v>411.9</v>
      </c>
      <c r="N490" s="31"/>
      <c r="O490" s="31"/>
    </row>
    <row r="491" spans="1:15" ht="13.5" customHeight="1" hidden="1">
      <c r="A491" s="43" t="s">
        <v>81</v>
      </c>
      <c r="B491" s="48" t="s">
        <v>76</v>
      </c>
      <c r="C491" s="48" t="s">
        <v>80</v>
      </c>
      <c r="D491" s="48" t="s">
        <v>173</v>
      </c>
      <c r="E491" s="48" t="s">
        <v>120</v>
      </c>
      <c r="F491" s="48" t="s">
        <v>82</v>
      </c>
      <c r="G491" s="50">
        <f t="shared" si="231"/>
        <v>0</v>
      </c>
      <c r="H491" s="50">
        <f>95.8-1.77304-94.02696</f>
        <v>0</v>
      </c>
      <c r="I491" s="50">
        <f>95.8+1.77304-3.54608-94.02696</f>
        <v>0</v>
      </c>
      <c r="J491" s="50">
        <f>95.9+3.54608-99.44608</f>
        <v>0</v>
      </c>
      <c r="K491" s="50">
        <f>95.9-95.9</f>
        <v>0</v>
      </c>
      <c r="L491" s="50">
        <f>383.4-383.4</f>
        <v>0</v>
      </c>
      <c r="M491" s="50">
        <f>383.4-383.4</f>
        <v>0</v>
      </c>
      <c r="N491" s="31"/>
      <c r="O491" s="31"/>
    </row>
    <row r="492" spans="1:15" ht="45.75" customHeight="1">
      <c r="A492" s="43" t="s">
        <v>447</v>
      </c>
      <c r="B492" s="48" t="s">
        <v>76</v>
      </c>
      <c r="C492" s="48" t="s">
        <v>80</v>
      </c>
      <c r="D492" s="48" t="s">
        <v>173</v>
      </c>
      <c r="E492" s="48" t="s">
        <v>120</v>
      </c>
      <c r="F492" s="48" t="s">
        <v>250</v>
      </c>
      <c r="G492" s="50">
        <f t="shared" si="231"/>
        <v>371.21492</v>
      </c>
      <c r="H492" s="50">
        <f>103-14.37031</f>
        <v>88.62969</v>
      </c>
      <c r="I492" s="50">
        <f>103+14.37031-28.74065</f>
        <v>88.62966</v>
      </c>
      <c r="J492" s="50">
        <f>103+28.74065-36.43249</f>
        <v>95.30815999999999</v>
      </c>
      <c r="K492" s="50">
        <f>102.89+36.43249-40.67508</f>
        <v>98.64741000000001</v>
      </c>
      <c r="L492" s="51">
        <v>411.9</v>
      </c>
      <c r="M492" s="51">
        <v>411.9</v>
      </c>
      <c r="N492" s="31"/>
      <c r="O492" s="31"/>
    </row>
    <row r="493" spans="1:15" ht="17.25" customHeight="1">
      <c r="A493" s="62" t="s">
        <v>174</v>
      </c>
      <c r="B493" s="55" t="s">
        <v>76</v>
      </c>
      <c r="C493" s="55" t="s">
        <v>71</v>
      </c>
      <c r="D493" s="55" t="s">
        <v>151</v>
      </c>
      <c r="E493" s="55" t="s">
        <v>59</v>
      </c>
      <c r="F493" s="48"/>
      <c r="G493" s="58">
        <f t="shared" si="231"/>
        <v>562.64</v>
      </c>
      <c r="H493" s="56">
        <f aca="true" t="shared" si="240" ref="H493:M493">H494+H496</f>
        <v>18.492299999999993</v>
      </c>
      <c r="I493" s="56">
        <f t="shared" si="240"/>
        <v>206.4</v>
      </c>
      <c r="J493" s="56">
        <f t="shared" si="240"/>
        <v>224.8923</v>
      </c>
      <c r="K493" s="59">
        <f t="shared" si="240"/>
        <v>112.8554</v>
      </c>
      <c r="L493" s="58">
        <f t="shared" si="240"/>
        <v>506.24</v>
      </c>
      <c r="M493" s="58">
        <f t="shared" si="240"/>
        <v>471.84</v>
      </c>
      <c r="N493" s="31"/>
      <c r="O493" s="31"/>
    </row>
    <row r="494" spans="1:15" ht="75" customHeight="1">
      <c r="A494" s="61" t="s">
        <v>448</v>
      </c>
      <c r="B494" s="48" t="s">
        <v>76</v>
      </c>
      <c r="C494" s="48" t="s">
        <v>71</v>
      </c>
      <c r="D494" s="48" t="s">
        <v>219</v>
      </c>
      <c r="E494" s="48" t="s">
        <v>52</v>
      </c>
      <c r="F494" s="48"/>
      <c r="G494" s="58">
        <f aca="true" t="shared" si="241" ref="G494:M494">G495</f>
        <v>149.83999999999997</v>
      </c>
      <c r="H494" s="59">
        <f t="shared" si="241"/>
        <v>18.492299999999993</v>
      </c>
      <c r="I494" s="60">
        <f t="shared" si="241"/>
        <v>0</v>
      </c>
      <c r="J494" s="59">
        <f t="shared" si="241"/>
        <v>18.492299999999993</v>
      </c>
      <c r="K494" s="59">
        <f t="shared" si="241"/>
        <v>112.8554</v>
      </c>
      <c r="L494" s="58">
        <f t="shared" si="241"/>
        <v>299.84</v>
      </c>
      <c r="M494" s="58">
        <f t="shared" si="241"/>
        <v>299.84</v>
      </c>
      <c r="N494" s="31"/>
      <c r="O494" s="31"/>
    </row>
    <row r="495" spans="1:15" ht="14.25" customHeight="1">
      <c r="A495" s="43" t="s">
        <v>336</v>
      </c>
      <c r="B495" s="48" t="s">
        <v>76</v>
      </c>
      <c r="C495" s="48" t="s">
        <v>71</v>
      </c>
      <c r="D495" s="48" t="s">
        <v>219</v>
      </c>
      <c r="E495" s="48" t="s">
        <v>120</v>
      </c>
      <c r="F495" s="48" t="s">
        <v>51</v>
      </c>
      <c r="G495" s="51">
        <f>H495+I495+J495+K495</f>
        <v>149.83999999999997</v>
      </c>
      <c r="H495" s="49">
        <f>74.96-56.4677</f>
        <v>18.492299999999993</v>
      </c>
      <c r="I495" s="45">
        <f>74.96+56.4677-131.4277</f>
        <v>0</v>
      </c>
      <c r="J495" s="49">
        <f>74.96-18.5723-37.8954</f>
        <v>18.492299999999993</v>
      </c>
      <c r="K495" s="49">
        <f>74.96+37.8954</f>
        <v>112.8554</v>
      </c>
      <c r="L495" s="51">
        <v>299.84</v>
      </c>
      <c r="M495" s="51">
        <v>299.84</v>
      </c>
      <c r="N495" s="31"/>
      <c r="O495" s="31"/>
    </row>
    <row r="496" spans="1:15" ht="94.5" customHeight="1">
      <c r="A496" s="61" t="s">
        <v>337</v>
      </c>
      <c r="B496" s="55" t="s">
        <v>76</v>
      </c>
      <c r="C496" s="55" t="s">
        <v>71</v>
      </c>
      <c r="D496" s="55" t="s">
        <v>212</v>
      </c>
      <c r="E496" s="55" t="s">
        <v>38</v>
      </c>
      <c r="F496" s="55"/>
      <c r="G496" s="58">
        <f aca="true" t="shared" si="242" ref="G496:M496">G497</f>
        <v>412.8</v>
      </c>
      <c r="H496" s="60">
        <f t="shared" si="242"/>
        <v>0</v>
      </c>
      <c r="I496" s="58">
        <f t="shared" si="242"/>
        <v>206.4</v>
      </c>
      <c r="J496" s="58">
        <f t="shared" si="242"/>
        <v>206.4</v>
      </c>
      <c r="K496" s="60">
        <f t="shared" si="242"/>
        <v>0</v>
      </c>
      <c r="L496" s="58">
        <f t="shared" si="242"/>
        <v>206.4</v>
      </c>
      <c r="M496" s="58">
        <f t="shared" si="242"/>
        <v>172</v>
      </c>
      <c r="N496" s="31"/>
      <c r="O496" s="31"/>
    </row>
    <row r="497" spans="1:15" ht="13.5" customHeight="1">
      <c r="A497" s="96" t="s">
        <v>132</v>
      </c>
      <c r="B497" s="48" t="s">
        <v>76</v>
      </c>
      <c r="C497" s="48" t="s">
        <v>71</v>
      </c>
      <c r="D497" s="48" t="s">
        <v>212</v>
      </c>
      <c r="E497" s="48" t="s">
        <v>133</v>
      </c>
      <c r="F497" s="48" t="s">
        <v>72</v>
      </c>
      <c r="G497" s="51">
        <f>H497+I497+J497+K497</f>
        <v>412.8</v>
      </c>
      <c r="H497" s="45">
        <v>0</v>
      </c>
      <c r="I497" s="51">
        <f>206.4+206.4-206.4</f>
        <v>206.4</v>
      </c>
      <c r="J497" s="51">
        <v>206.4</v>
      </c>
      <c r="K497" s="45">
        <v>0</v>
      </c>
      <c r="L497" s="51">
        <v>206.4</v>
      </c>
      <c r="M497" s="51">
        <v>172</v>
      </c>
      <c r="N497" s="31"/>
      <c r="O497" s="31"/>
    </row>
    <row r="498" spans="1:15" ht="14.25" customHeight="1">
      <c r="A498" s="86" t="s">
        <v>238</v>
      </c>
      <c r="B498" s="78" t="s">
        <v>76</v>
      </c>
      <c r="C498" s="55" t="s">
        <v>239</v>
      </c>
      <c r="D498" s="55" t="s">
        <v>151</v>
      </c>
      <c r="E498" s="55" t="s">
        <v>59</v>
      </c>
      <c r="F498" s="48"/>
      <c r="G498" s="56">
        <f>H498+I498+J498+K498</f>
        <v>558.11944</v>
      </c>
      <c r="H498" s="58">
        <f aca="true" t="shared" si="243" ref="H498:M499">H499</f>
        <v>279.1</v>
      </c>
      <c r="I498" s="56">
        <f t="shared" si="243"/>
        <v>279.02867</v>
      </c>
      <c r="J498" s="60">
        <f t="shared" si="243"/>
        <v>0</v>
      </c>
      <c r="K498" s="56">
        <f t="shared" si="243"/>
        <v>-0.009230000000002292</v>
      </c>
      <c r="L498" s="58">
        <f t="shared" si="243"/>
        <v>598.4</v>
      </c>
      <c r="M498" s="58">
        <f t="shared" si="243"/>
        <v>598.4</v>
      </c>
      <c r="N498" s="31"/>
      <c r="O498" s="31"/>
    </row>
    <row r="499" spans="1:15" ht="101.25" customHeight="1">
      <c r="A499" s="61" t="s">
        <v>338</v>
      </c>
      <c r="B499" s="55" t="s">
        <v>76</v>
      </c>
      <c r="C499" s="55" t="s">
        <v>239</v>
      </c>
      <c r="D499" s="55" t="s">
        <v>223</v>
      </c>
      <c r="E499" s="55" t="s">
        <v>38</v>
      </c>
      <c r="F499" s="55"/>
      <c r="G499" s="56">
        <f>G500</f>
        <v>558.11944</v>
      </c>
      <c r="H499" s="58">
        <f t="shared" si="243"/>
        <v>279.1</v>
      </c>
      <c r="I499" s="56">
        <f t="shared" si="243"/>
        <v>279.02867</v>
      </c>
      <c r="J499" s="60">
        <f t="shared" si="243"/>
        <v>0</v>
      </c>
      <c r="K499" s="56">
        <f t="shared" si="243"/>
        <v>-0.009230000000002292</v>
      </c>
      <c r="L499" s="58">
        <f t="shared" si="243"/>
        <v>598.4</v>
      </c>
      <c r="M499" s="58">
        <f t="shared" si="243"/>
        <v>598.4</v>
      </c>
      <c r="N499" s="31"/>
      <c r="O499" s="31"/>
    </row>
    <row r="500" spans="1:15" ht="14.25" customHeight="1">
      <c r="A500" s="43" t="s">
        <v>132</v>
      </c>
      <c r="B500" s="48" t="s">
        <v>76</v>
      </c>
      <c r="C500" s="48" t="s">
        <v>239</v>
      </c>
      <c r="D500" s="48" t="s">
        <v>223</v>
      </c>
      <c r="E500" s="48" t="s">
        <v>133</v>
      </c>
      <c r="F500" s="48" t="s">
        <v>72</v>
      </c>
      <c r="G500" s="50">
        <f aca="true" t="shared" si="244" ref="G500:G509">H500+I500+J500+K500</f>
        <v>558.11944</v>
      </c>
      <c r="H500" s="51">
        <v>279.1</v>
      </c>
      <c r="I500" s="50">
        <f>598.4-279.1-40.27133</f>
        <v>279.02867</v>
      </c>
      <c r="J500" s="45">
        <f>40.27133-40.27133</f>
        <v>0</v>
      </c>
      <c r="K500" s="50">
        <f>40.27133-40.28056</f>
        <v>-0.009230000000002292</v>
      </c>
      <c r="L500" s="51">
        <v>598.4</v>
      </c>
      <c r="M500" s="51">
        <v>598.4</v>
      </c>
      <c r="N500" s="31"/>
      <c r="O500" s="31"/>
    </row>
    <row r="501" spans="1:15" ht="17.25" customHeight="1">
      <c r="A501" s="42" t="s">
        <v>175</v>
      </c>
      <c r="B501" s="55" t="s">
        <v>76</v>
      </c>
      <c r="C501" s="55" t="s">
        <v>176</v>
      </c>
      <c r="D501" s="55" t="s">
        <v>151</v>
      </c>
      <c r="E501" s="55" t="s">
        <v>59</v>
      </c>
      <c r="F501" s="55"/>
      <c r="G501" s="59">
        <f t="shared" si="244"/>
        <v>10088.647600000002</v>
      </c>
      <c r="H501" s="56">
        <f aca="true" t="shared" si="245" ref="H501:M501">H502+H535</f>
        <v>1705.5242400000002</v>
      </c>
      <c r="I501" s="56">
        <f t="shared" si="245"/>
        <v>2596.5770300000004</v>
      </c>
      <c r="J501" s="56">
        <f t="shared" si="245"/>
        <v>2362.17828</v>
      </c>
      <c r="K501" s="56">
        <f t="shared" si="245"/>
        <v>3424.368050000001</v>
      </c>
      <c r="L501" s="58">
        <f t="shared" si="245"/>
        <v>7520.800000000001</v>
      </c>
      <c r="M501" s="58">
        <f t="shared" si="245"/>
        <v>7884.500000000001</v>
      </c>
      <c r="N501" s="31"/>
      <c r="O501" s="31"/>
    </row>
    <row r="502" spans="1:15" ht="37.5" customHeight="1">
      <c r="A502" s="22" t="s">
        <v>280</v>
      </c>
      <c r="B502" s="55" t="s">
        <v>76</v>
      </c>
      <c r="C502" s="55" t="s">
        <v>87</v>
      </c>
      <c r="D502" s="55" t="s">
        <v>325</v>
      </c>
      <c r="E502" s="55" t="s">
        <v>131</v>
      </c>
      <c r="F502" s="55"/>
      <c r="G502" s="59">
        <f t="shared" si="244"/>
        <v>9729.147600000002</v>
      </c>
      <c r="H502" s="56">
        <f aca="true" t="shared" si="246" ref="H502:M502">H503+H527+H533</f>
        <v>1650.7254200000002</v>
      </c>
      <c r="I502" s="56">
        <f t="shared" si="246"/>
        <v>2520.6723400000005</v>
      </c>
      <c r="J502" s="56">
        <f t="shared" si="246"/>
        <v>2300.17828</v>
      </c>
      <c r="K502" s="56">
        <f t="shared" si="246"/>
        <v>3257.5715600000008</v>
      </c>
      <c r="L502" s="58">
        <f t="shared" si="246"/>
        <v>7233.800000000001</v>
      </c>
      <c r="M502" s="58">
        <f t="shared" si="246"/>
        <v>7597.500000000001</v>
      </c>
      <c r="N502" s="31"/>
      <c r="O502" s="31"/>
    </row>
    <row r="503" spans="1:39" ht="52.5" customHeight="1">
      <c r="A503" s="61" t="s">
        <v>449</v>
      </c>
      <c r="B503" s="48" t="s">
        <v>76</v>
      </c>
      <c r="C503" s="48" t="s">
        <v>87</v>
      </c>
      <c r="D503" s="48" t="s">
        <v>178</v>
      </c>
      <c r="E503" s="48" t="s">
        <v>105</v>
      </c>
      <c r="F503" s="48" t="s">
        <v>63</v>
      </c>
      <c r="G503" s="49">
        <f>H503+I503+J503+K503</f>
        <v>7462.080600000001</v>
      </c>
      <c r="H503" s="50">
        <f aca="true" t="shared" si="247" ref="H503:M503">H505+H506+H508+H511+H515+H516+H517+H518+H519+H522+H524+H526</f>
        <v>1175.12542</v>
      </c>
      <c r="I503" s="50">
        <f t="shared" si="247"/>
        <v>1800.3773400000002</v>
      </c>
      <c r="J503" s="50">
        <f t="shared" si="247"/>
        <v>1824.57828</v>
      </c>
      <c r="K503" s="50">
        <f t="shared" si="247"/>
        <v>2661.9995600000007</v>
      </c>
      <c r="L503" s="50">
        <f t="shared" si="247"/>
        <v>7233.800000000001</v>
      </c>
      <c r="M503" s="51">
        <f t="shared" si="247"/>
        <v>7597.500000000001</v>
      </c>
      <c r="N503" s="52">
        <f aca="true" t="shared" si="248" ref="N503:AL503">N505+N506+N508+N511+N516+N517+N519+N522+N524+N526</f>
        <v>0</v>
      </c>
      <c r="O503" s="52">
        <f t="shared" si="248"/>
        <v>0</v>
      </c>
      <c r="P503" s="52">
        <f t="shared" si="248"/>
        <v>0</v>
      </c>
      <c r="Q503" s="52">
        <f t="shared" si="248"/>
        <v>0</v>
      </c>
      <c r="R503" s="52">
        <f t="shared" si="248"/>
        <v>0</v>
      </c>
      <c r="S503" s="52">
        <f t="shared" si="248"/>
        <v>0</v>
      </c>
      <c r="T503" s="52">
        <f t="shared" si="248"/>
        <v>0</v>
      </c>
      <c r="U503" s="52">
        <f t="shared" si="248"/>
        <v>0</v>
      </c>
      <c r="V503" s="52">
        <f t="shared" si="248"/>
        <v>0</v>
      </c>
      <c r="W503" s="52">
        <f t="shared" si="248"/>
        <v>0</v>
      </c>
      <c r="X503" s="52">
        <f t="shared" si="248"/>
        <v>0</v>
      </c>
      <c r="Y503" s="52">
        <f t="shared" si="248"/>
        <v>0</v>
      </c>
      <c r="Z503" s="52">
        <f t="shared" si="248"/>
        <v>0</v>
      </c>
      <c r="AA503" s="52">
        <f t="shared" si="248"/>
        <v>0</v>
      </c>
      <c r="AB503" s="52">
        <f t="shared" si="248"/>
        <v>0</v>
      </c>
      <c r="AC503" s="52">
        <f t="shared" si="248"/>
        <v>0</v>
      </c>
      <c r="AD503" s="52">
        <f t="shared" si="248"/>
        <v>0</v>
      </c>
      <c r="AE503" s="52">
        <f t="shared" si="248"/>
        <v>0</v>
      </c>
      <c r="AF503" s="52">
        <f t="shared" si="248"/>
        <v>0</v>
      </c>
      <c r="AG503" s="52">
        <f t="shared" si="248"/>
        <v>0</v>
      </c>
      <c r="AH503" s="52">
        <f t="shared" si="248"/>
        <v>0</v>
      </c>
      <c r="AI503" s="52">
        <f t="shared" si="248"/>
        <v>0</v>
      </c>
      <c r="AJ503" s="52">
        <f t="shared" si="248"/>
        <v>0</v>
      </c>
      <c r="AK503" s="52">
        <f t="shared" si="248"/>
        <v>0</v>
      </c>
      <c r="AL503" s="52">
        <f t="shared" si="248"/>
        <v>0</v>
      </c>
      <c r="AM503" s="37"/>
    </row>
    <row r="504" spans="1:39" ht="14.25" customHeight="1">
      <c r="A504" s="43" t="s">
        <v>15</v>
      </c>
      <c r="B504" s="48" t="s">
        <v>76</v>
      </c>
      <c r="C504" s="48" t="s">
        <v>87</v>
      </c>
      <c r="D504" s="48" t="s">
        <v>178</v>
      </c>
      <c r="E504" s="48" t="s">
        <v>90</v>
      </c>
      <c r="F504" s="48" t="s">
        <v>107</v>
      </c>
      <c r="G504" s="50">
        <f t="shared" si="244"/>
        <v>5051.8254400000005</v>
      </c>
      <c r="H504" s="50">
        <f aca="true" t="shared" si="249" ref="H504:M504">H505+H508</f>
        <v>874.6043400000001</v>
      </c>
      <c r="I504" s="53">
        <f t="shared" si="249"/>
        <v>1076.343</v>
      </c>
      <c r="J504" s="50">
        <f t="shared" si="249"/>
        <v>1295.15365</v>
      </c>
      <c r="K504" s="50">
        <f t="shared" si="249"/>
        <v>1805.7244500000002</v>
      </c>
      <c r="L504" s="51">
        <f t="shared" si="249"/>
        <v>5007.3</v>
      </c>
      <c r="M504" s="51">
        <f t="shared" si="249"/>
        <v>5007.3</v>
      </c>
      <c r="N504" s="31"/>
      <c r="O504" s="31"/>
      <c r="AM504" s="37"/>
    </row>
    <row r="505" spans="1:15" ht="15" customHeight="1">
      <c r="A505" s="41" t="s">
        <v>16</v>
      </c>
      <c r="B505" s="48" t="s">
        <v>76</v>
      </c>
      <c r="C505" s="48" t="s">
        <v>87</v>
      </c>
      <c r="D505" s="48" t="s">
        <v>178</v>
      </c>
      <c r="E505" s="48" t="s">
        <v>90</v>
      </c>
      <c r="F505" s="48" t="s">
        <v>108</v>
      </c>
      <c r="G505" s="50">
        <f t="shared" si="244"/>
        <v>3881.6688900000004</v>
      </c>
      <c r="H505" s="50">
        <f>769.2-74.59101</f>
        <v>694.6089900000001</v>
      </c>
      <c r="I505" s="50">
        <f>961.5+74.59101-205.98808</f>
        <v>830.1029300000001</v>
      </c>
      <c r="J505" s="50">
        <f>961.5+205.98808-162.27043</f>
        <v>1005.21765</v>
      </c>
      <c r="K505" s="50">
        <f>1153.7+162.27043-217.08801+252.8569</f>
        <v>1351.7393200000001</v>
      </c>
      <c r="L505" s="51">
        <v>3845.9</v>
      </c>
      <c r="M505" s="51">
        <v>3845.9</v>
      </c>
      <c r="N505" s="31"/>
      <c r="O505" s="31"/>
    </row>
    <row r="506" spans="1:15" ht="13.5" customHeight="1">
      <c r="A506" s="41" t="s">
        <v>17</v>
      </c>
      <c r="B506" s="48" t="s">
        <v>76</v>
      </c>
      <c r="C506" s="48" t="s">
        <v>87</v>
      </c>
      <c r="D506" s="48" t="s">
        <v>178</v>
      </c>
      <c r="E506" s="48" t="s">
        <v>90</v>
      </c>
      <c r="F506" s="48" t="s">
        <v>109</v>
      </c>
      <c r="G506" s="51">
        <f t="shared" si="244"/>
        <v>30.4</v>
      </c>
      <c r="H506" s="45">
        <v>0</v>
      </c>
      <c r="I506" s="51">
        <f>0.6+23.4</f>
        <v>24</v>
      </c>
      <c r="J506" s="51">
        <v>6.4</v>
      </c>
      <c r="K506" s="45">
        <v>0</v>
      </c>
      <c r="L506" s="45">
        <v>0</v>
      </c>
      <c r="M506" s="45">
        <v>0</v>
      </c>
      <c r="N506" s="31"/>
      <c r="O506" s="31"/>
    </row>
    <row r="507" spans="1:15" ht="13.5" customHeight="1" hidden="1">
      <c r="A507" s="43" t="s">
        <v>305</v>
      </c>
      <c r="B507" s="48" t="s">
        <v>76</v>
      </c>
      <c r="C507" s="48" t="s">
        <v>87</v>
      </c>
      <c r="D507" s="48" t="s">
        <v>178</v>
      </c>
      <c r="E507" s="48" t="s">
        <v>90</v>
      </c>
      <c r="F507" s="48" t="s">
        <v>92</v>
      </c>
      <c r="G507" s="50">
        <f t="shared" si="244"/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31"/>
      <c r="O507" s="31"/>
    </row>
    <row r="508" spans="1:15" ht="15" customHeight="1">
      <c r="A508" s="41" t="s">
        <v>18</v>
      </c>
      <c r="B508" s="48" t="s">
        <v>76</v>
      </c>
      <c r="C508" s="48" t="s">
        <v>87</v>
      </c>
      <c r="D508" s="48" t="s">
        <v>178</v>
      </c>
      <c r="E508" s="48" t="s">
        <v>90</v>
      </c>
      <c r="F508" s="48" t="s">
        <v>110</v>
      </c>
      <c r="G508" s="50">
        <f t="shared" si="244"/>
        <v>1170.15655</v>
      </c>
      <c r="H508" s="50">
        <f>232.2-52.20465</f>
        <v>179.99534999999997</v>
      </c>
      <c r="I508" s="50">
        <f>290.4+52.20465-96.36458</f>
        <v>246.24007</v>
      </c>
      <c r="J508" s="53">
        <f>290.4+96.36458-96.82858</f>
        <v>289.936</v>
      </c>
      <c r="K508" s="50">
        <f>348.4+96.82858-65.56058+74.31713</f>
        <v>453.98512999999997</v>
      </c>
      <c r="L508" s="51">
        <v>1161.4</v>
      </c>
      <c r="M508" s="51">
        <v>1161.4</v>
      </c>
      <c r="N508" s="31"/>
      <c r="O508" s="31"/>
    </row>
    <row r="509" spans="1:15" ht="15" customHeight="1">
      <c r="A509" s="41" t="s">
        <v>19</v>
      </c>
      <c r="B509" s="48" t="s">
        <v>76</v>
      </c>
      <c r="C509" s="48" t="s">
        <v>87</v>
      </c>
      <c r="D509" s="48" t="s">
        <v>178</v>
      </c>
      <c r="E509" s="48" t="s">
        <v>90</v>
      </c>
      <c r="F509" s="48" t="s">
        <v>111</v>
      </c>
      <c r="G509" s="50">
        <f t="shared" si="244"/>
        <v>1939.32979</v>
      </c>
      <c r="H509" s="50">
        <f aca="true" t="shared" si="250" ref="H509:M509">H511+H512+H519+H522</f>
        <v>290.52108000000004</v>
      </c>
      <c r="I509" s="50">
        <f t="shared" si="250"/>
        <v>644.8613399999999</v>
      </c>
      <c r="J509" s="50">
        <f t="shared" si="250"/>
        <v>295.5394</v>
      </c>
      <c r="K509" s="50">
        <f t="shared" si="250"/>
        <v>708.40797</v>
      </c>
      <c r="L509" s="50">
        <f t="shared" si="250"/>
        <v>672</v>
      </c>
      <c r="M509" s="50">
        <f t="shared" si="250"/>
        <v>685.7</v>
      </c>
      <c r="N509" s="31"/>
      <c r="O509" s="31"/>
    </row>
    <row r="510" spans="1:15" ht="13.5" customHeight="1" hidden="1">
      <c r="A510" s="41" t="s">
        <v>20</v>
      </c>
      <c r="B510" s="48" t="s">
        <v>76</v>
      </c>
      <c r="C510" s="48" t="s">
        <v>87</v>
      </c>
      <c r="D510" s="48" t="s">
        <v>178</v>
      </c>
      <c r="E510" s="48" t="s">
        <v>90</v>
      </c>
      <c r="F510" s="48" t="s">
        <v>112</v>
      </c>
      <c r="G510" s="50"/>
      <c r="H510" s="50"/>
      <c r="I510" s="50"/>
      <c r="J510" s="50"/>
      <c r="K510" s="50"/>
      <c r="L510" s="50"/>
      <c r="M510" s="51"/>
      <c r="N510" s="31"/>
      <c r="O510" s="31"/>
    </row>
    <row r="511" spans="1:35" ht="13.5" customHeight="1">
      <c r="A511" s="41" t="s">
        <v>21</v>
      </c>
      <c r="B511" s="48" t="s">
        <v>76</v>
      </c>
      <c r="C511" s="48" t="s">
        <v>87</v>
      </c>
      <c r="D511" s="48" t="s">
        <v>178</v>
      </c>
      <c r="E511" s="48" t="s">
        <v>90</v>
      </c>
      <c r="F511" s="48" t="s">
        <v>113</v>
      </c>
      <c r="G511" s="51">
        <f>I511+J511+K511+H511</f>
        <v>26.79</v>
      </c>
      <c r="H511" s="45">
        <f>7.5-7.5</f>
        <v>0</v>
      </c>
      <c r="I511" s="51">
        <f>7.5+7.5+24-20.056+5.056</f>
        <v>24</v>
      </c>
      <c r="J511" s="45">
        <f>7.5-5.056-2.444</f>
        <v>0</v>
      </c>
      <c r="K511" s="51">
        <f>7.5-0.105-6+1.395</f>
        <v>2.7899999999999996</v>
      </c>
      <c r="L511" s="51">
        <v>30</v>
      </c>
      <c r="M511" s="51">
        <v>30</v>
      </c>
      <c r="N511" s="35">
        <f aca="true" t="shared" si="251" ref="N511:AI511">N513+N514+N515</f>
        <v>0</v>
      </c>
      <c r="O511" s="35">
        <f t="shared" si="251"/>
        <v>0</v>
      </c>
      <c r="P511" s="35">
        <f t="shared" si="251"/>
        <v>0</v>
      </c>
      <c r="Q511" s="35">
        <f t="shared" si="251"/>
        <v>0</v>
      </c>
      <c r="R511" s="35">
        <f t="shared" si="251"/>
        <v>0</v>
      </c>
      <c r="S511" s="35">
        <f t="shared" si="251"/>
        <v>0</v>
      </c>
      <c r="T511" s="35">
        <f t="shared" si="251"/>
        <v>0</v>
      </c>
      <c r="U511" s="35">
        <f t="shared" si="251"/>
        <v>0</v>
      </c>
      <c r="V511" s="35">
        <f t="shared" si="251"/>
        <v>0</v>
      </c>
      <c r="W511" s="35">
        <f t="shared" si="251"/>
        <v>0</v>
      </c>
      <c r="X511" s="35">
        <f t="shared" si="251"/>
        <v>0</v>
      </c>
      <c r="Y511" s="35">
        <f t="shared" si="251"/>
        <v>0</v>
      </c>
      <c r="Z511" s="35">
        <f t="shared" si="251"/>
        <v>0</v>
      </c>
      <c r="AA511" s="35">
        <f t="shared" si="251"/>
        <v>0</v>
      </c>
      <c r="AB511" s="35">
        <f t="shared" si="251"/>
        <v>0</v>
      </c>
      <c r="AC511" s="35">
        <f t="shared" si="251"/>
        <v>0</v>
      </c>
      <c r="AD511" s="35">
        <f t="shared" si="251"/>
        <v>0</v>
      </c>
      <c r="AE511" s="35">
        <f t="shared" si="251"/>
        <v>0</v>
      </c>
      <c r="AF511" s="35">
        <f t="shared" si="251"/>
        <v>0</v>
      </c>
      <c r="AG511" s="35">
        <f t="shared" si="251"/>
        <v>0</v>
      </c>
      <c r="AH511" s="35">
        <f t="shared" si="251"/>
        <v>0</v>
      </c>
      <c r="AI511" s="35">
        <f t="shared" si="251"/>
        <v>0</v>
      </c>
    </row>
    <row r="512" spans="1:15" ht="13.5" customHeight="1">
      <c r="A512" s="41" t="s">
        <v>22</v>
      </c>
      <c r="B512" s="48" t="s">
        <v>76</v>
      </c>
      <c r="C512" s="48" t="s">
        <v>87</v>
      </c>
      <c r="D512" s="48" t="s">
        <v>178</v>
      </c>
      <c r="E512" s="48" t="s">
        <v>90</v>
      </c>
      <c r="F512" s="48" t="s">
        <v>114</v>
      </c>
      <c r="G512" s="50">
        <f>H512+I512+J512+K512</f>
        <v>300.21484000000004</v>
      </c>
      <c r="H512" s="50">
        <f aca="true" t="shared" si="252" ref="H512:M512">H514+H515+H516+H517</f>
        <v>272.35988000000003</v>
      </c>
      <c r="I512" s="53">
        <f t="shared" si="252"/>
        <v>13.774000000000001</v>
      </c>
      <c r="J512" s="45">
        <f t="shared" si="252"/>
        <v>0</v>
      </c>
      <c r="K512" s="50">
        <f t="shared" si="252"/>
        <v>14.080960000000001</v>
      </c>
      <c r="L512" s="51">
        <f t="shared" si="252"/>
        <v>364.70000000000005</v>
      </c>
      <c r="M512" s="51">
        <f t="shared" si="252"/>
        <v>379.40000000000003</v>
      </c>
      <c r="N512" s="31"/>
      <c r="O512" s="31"/>
    </row>
    <row r="513" spans="1:15" ht="13.5" customHeight="1">
      <c r="A513" s="41" t="s">
        <v>23</v>
      </c>
      <c r="B513" s="48" t="s">
        <v>76</v>
      </c>
      <c r="C513" s="48" t="s">
        <v>87</v>
      </c>
      <c r="D513" s="48" t="s">
        <v>178</v>
      </c>
      <c r="E513" s="48" t="s">
        <v>90</v>
      </c>
      <c r="F513" s="48"/>
      <c r="G513" s="50"/>
      <c r="H513" s="50"/>
      <c r="I513" s="50"/>
      <c r="J513" s="50"/>
      <c r="K513" s="50"/>
      <c r="L513" s="50"/>
      <c r="M513" s="51"/>
      <c r="N513" s="31"/>
      <c r="O513" s="31"/>
    </row>
    <row r="514" spans="1:15" ht="12.75" customHeight="1" hidden="1">
      <c r="A514" s="41" t="s">
        <v>24</v>
      </c>
      <c r="B514" s="48" t="s">
        <v>76</v>
      </c>
      <c r="C514" s="48" t="s">
        <v>87</v>
      </c>
      <c r="D514" s="48" t="s">
        <v>178</v>
      </c>
      <c r="E514" s="48" t="s">
        <v>90</v>
      </c>
      <c r="F514" s="48" t="s">
        <v>114</v>
      </c>
      <c r="G514" s="50">
        <f aca="true" t="shared" si="253" ref="G514:G519">H514+I514+J514+K514</f>
        <v>0</v>
      </c>
      <c r="H514" s="50"/>
      <c r="I514" s="50"/>
      <c r="J514" s="50"/>
      <c r="K514" s="50"/>
      <c r="L514" s="50"/>
      <c r="M514" s="51"/>
      <c r="N514" s="31"/>
      <c r="O514" s="31"/>
    </row>
    <row r="515" spans="1:15" ht="14.25" customHeight="1">
      <c r="A515" s="41" t="s">
        <v>25</v>
      </c>
      <c r="B515" s="48" t="s">
        <v>76</v>
      </c>
      <c r="C515" s="48" t="s">
        <v>87</v>
      </c>
      <c r="D515" s="48" t="s">
        <v>178</v>
      </c>
      <c r="E515" s="48" t="s">
        <v>90</v>
      </c>
      <c r="F515" s="48" t="s">
        <v>263</v>
      </c>
      <c r="G515" s="50">
        <f t="shared" si="253"/>
        <v>263.54588</v>
      </c>
      <c r="H515" s="50">
        <f>78.3+56.5+16.3-15.6962+76.93278+51.2093</f>
        <v>263.54588</v>
      </c>
      <c r="I515" s="45">
        <f>78.3+56.6-16.3-118.6</f>
        <v>0</v>
      </c>
      <c r="J515" s="45">
        <f>78.3+56.5-134.8</f>
        <v>0</v>
      </c>
      <c r="K515" s="45">
        <f>78.4+56.5-134.9</f>
        <v>0</v>
      </c>
      <c r="L515" s="51">
        <v>326.1</v>
      </c>
      <c r="M515" s="51">
        <v>339.3</v>
      </c>
      <c r="N515" s="31"/>
      <c r="O515" s="31"/>
    </row>
    <row r="516" spans="1:15" ht="13.5" customHeight="1">
      <c r="A516" s="41" t="s">
        <v>26</v>
      </c>
      <c r="B516" s="48" t="s">
        <v>76</v>
      </c>
      <c r="C516" s="48" t="s">
        <v>87</v>
      </c>
      <c r="D516" s="48" t="s">
        <v>178</v>
      </c>
      <c r="E516" s="48" t="s">
        <v>90</v>
      </c>
      <c r="F516" s="48" t="s">
        <v>264</v>
      </c>
      <c r="G516" s="51">
        <f t="shared" si="253"/>
        <v>23</v>
      </c>
      <c r="H516" s="53">
        <f>5.7+3.114</f>
        <v>8.814</v>
      </c>
      <c r="I516" s="53">
        <f>5.7-3.114+1.821+4.407</f>
        <v>8.814</v>
      </c>
      <c r="J516" s="45">
        <f>5.8-1.821-3.979</f>
        <v>0</v>
      </c>
      <c r="K516" s="53">
        <f>5.8-0.428</f>
        <v>5.372</v>
      </c>
      <c r="L516" s="51">
        <v>38.6</v>
      </c>
      <c r="M516" s="51">
        <v>40.1</v>
      </c>
      <c r="N516" s="31"/>
      <c r="O516" s="31"/>
    </row>
    <row r="517" spans="1:15" ht="13.5" customHeight="1">
      <c r="A517" s="41" t="s">
        <v>440</v>
      </c>
      <c r="B517" s="48" t="s">
        <v>76</v>
      </c>
      <c r="C517" s="48" t="s">
        <v>87</v>
      </c>
      <c r="D517" s="48" t="s">
        <v>178</v>
      </c>
      <c r="E517" s="48" t="s">
        <v>90</v>
      </c>
      <c r="F517" s="48" t="s">
        <v>441</v>
      </c>
      <c r="G517" s="50">
        <f t="shared" si="253"/>
        <v>13.668960000000002</v>
      </c>
      <c r="H517" s="45">
        <f>3.15474-3.15474</f>
        <v>0</v>
      </c>
      <c r="I517" s="51">
        <f>3.15474+3.15474-1.34948</f>
        <v>4.96</v>
      </c>
      <c r="J517" s="45">
        <f>3.15474+1.34948-4.50422</f>
        <v>0</v>
      </c>
      <c r="K517" s="50">
        <f>3.15474+4.50422+1.05</f>
        <v>8.708960000000001</v>
      </c>
      <c r="L517" s="45">
        <v>0</v>
      </c>
      <c r="M517" s="45">
        <v>0</v>
      </c>
      <c r="N517" s="31"/>
      <c r="O517" s="31"/>
    </row>
    <row r="518" spans="1:15" ht="13.5" customHeight="1">
      <c r="A518" s="61" t="s">
        <v>417</v>
      </c>
      <c r="B518" s="48" t="s">
        <v>76</v>
      </c>
      <c r="C518" s="48" t="s">
        <v>87</v>
      </c>
      <c r="D518" s="48" t="s">
        <v>178</v>
      </c>
      <c r="E518" s="48" t="s">
        <v>90</v>
      </c>
      <c r="F518" s="48" t="s">
        <v>450</v>
      </c>
      <c r="G518" s="53">
        <f t="shared" si="253"/>
        <v>1.752</v>
      </c>
      <c r="H518" s="45">
        <f>3.15474-3.15474</f>
        <v>0</v>
      </c>
      <c r="I518" s="45">
        <v>0</v>
      </c>
      <c r="J518" s="45">
        <f>3.15474+1.34948-4.50422</f>
        <v>0</v>
      </c>
      <c r="K518" s="53">
        <v>1.752</v>
      </c>
      <c r="L518" s="45">
        <v>0</v>
      </c>
      <c r="M518" s="45">
        <v>0</v>
      </c>
      <c r="N518" s="31"/>
      <c r="O518" s="31"/>
    </row>
    <row r="519" spans="1:15" ht="13.5" customHeight="1">
      <c r="A519" s="41" t="s">
        <v>308</v>
      </c>
      <c r="B519" s="48" t="s">
        <v>76</v>
      </c>
      <c r="C519" s="48" t="s">
        <v>87</v>
      </c>
      <c r="D519" s="48" t="s">
        <v>178</v>
      </c>
      <c r="E519" s="48" t="s">
        <v>90</v>
      </c>
      <c r="F519" s="48" t="s">
        <v>91</v>
      </c>
      <c r="G519" s="49">
        <f t="shared" si="253"/>
        <v>1264.4196</v>
      </c>
      <c r="H519" s="51">
        <f aca="true" t="shared" si="254" ref="H519:M519">H521</f>
        <v>0.7000000000000028</v>
      </c>
      <c r="I519" s="53">
        <f t="shared" si="254"/>
        <v>422.604</v>
      </c>
      <c r="J519" s="53">
        <f t="shared" si="254"/>
        <v>184.865</v>
      </c>
      <c r="K519" s="49">
        <f t="shared" si="254"/>
        <v>656.2506</v>
      </c>
      <c r="L519" s="51">
        <f t="shared" si="254"/>
        <v>129</v>
      </c>
      <c r="M519" s="51">
        <f t="shared" si="254"/>
        <v>128</v>
      </c>
      <c r="N519" s="31"/>
      <c r="O519" s="31"/>
    </row>
    <row r="520" spans="1:15" ht="13.5" customHeight="1" hidden="1">
      <c r="A520" s="41" t="s">
        <v>23</v>
      </c>
      <c r="B520" s="48" t="s">
        <v>76</v>
      </c>
      <c r="C520" s="48" t="s">
        <v>87</v>
      </c>
      <c r="D520" s="48" t="s">
        <v>178</v>
      </c>
      <c r="E520" s="48" t="s">
        <v>90</v>
      </c>
      <c r="F520" s="48"/>
      <c r="G520" s="50"/>
      <c r="H520" s="51"/>
      <c r="I520" s="50"/>
      <c r="J520" s="50"/>
      <c r="K520" s="50"/>
      <c r="L520" s="50"/>
      <c r="M520" s="51"/>
      <c r="N520" s="31"/>
      <c r="O520" s="31"/>
    </row>
    <row r="521" spans="1:15" ht="13.5" customHeight="1" hidden="1">
      <c r="A521" s="41" t="s">
        <v>308</v>
      </c>
      <c r="B521" s="48" t="s">
        <v>76</v>
      </c>
      <c r="C521" s="48" t="s">
        <v>87</v>
      </c>
      <c r="D521" s="48" t="s">
        <v>178</v>
      </c>
      <c r="E521" s="48" t="s">
        <v>90</v>
      </c>
      <c r="F521" s="48" t="s">
        <v>91</v>
      </c>
      <c r="G521" s="49">
        <f aca="true" t="shared" si="255" ref="G521:G540">H521+I521+J521+K521</f>
        <v>1264.4196</v>
      </c>
      <c r="H521" s="51">
        <f>52.2+27.5-55-4.18658-19.81342</f>
        <v>0.7000000000000028</v>
      </c>
      <c r="I521" s="53">
        <f>400+24.56-1.956</f>
        <v>422.604</v>
      </c>
      <c r="J521" s="53">
        <f>52.3+27.6-55.2-3.15474-16.35708-2.15+145.075+1.956+38.74-3.94418</f>
        <v>184.865</v>
      </c>
      <c r="K521" s="49">
        <f>407.96276+248.28784</f>
        <v>656.2506</v>
      </c>
      <c r="L521" s="51">
        <v>129</v>
      </c>
      <c r="M521" s="51">
        <v>128</v>
      </c>
      <c r="N521" s="31"/>
      <c r="O521" s="31"/>
    </row>
    <row r="522" spans="1:15" ht="18.75" customHeight="1">
      <c r="A522" s="43" t="s">
        <v>305</v>
      </c>
      <c r="B522" s="48" t="s">
        <v>76</v>
      </c>
      <c r="C522" s="48" t="s">
        <v>87</v>
      </c>
      <c r="D522" s="48" t="s">
        <v>178</v>
      </c>
      <c r="E522" s="48" t="s">
        <v>90</v>
      </c>
      <c r="F522" s="48" t="s">
        <v>92</v>
      </c>
      <c r="G522" s="50">
        <f t="shared" si="255"/>
        <v>347.90534999999994</v>
      </c>
      <c r="H522" s="50">
        <f aca="true" t="shared" si="256" ref="H522:M522">H523</f>
        <v>17.461199999999998</v>
      </c>
      <c r="I522" s="50">
        <f t="shared" si="256"/>
        <v>184.48334</v>
      </c>
      <c r="J522" s="50">
        <f t="shared" si="256"/>
        <v>110.67439999999998</v>
      </c>
      <c r="K522" s="50">
        <f t="shared" si="256"/>
        <v>35.286410000000004</v>
      </c>
      <c r="L522" s="50">
        <f t="shared" si="256"/>
        <v>148.3</v>
      </c>
      <c r="M522" s="51">
        <f t="shared" si="256"/>
        <v>148.3</v>
      </c>
      <c r="N522" s="31"/>
      <c r="O522" s="31"/>
    </row>
    <row r="523" spans="1:15" ht="13.5" customHeight="1" hidden="1">
      <c r="A523" s="43" t="s">
        <v>305</v>
      </c>
      <c r="B523" s="48" t="s">
        <v>76</v>
      </c>
      <c r="C523" s="48" t="s">
        <v>87</v>
      </c>
      <c r="D523" s="48" t="s">
        <v>178</v>
      </c>
      <c r="E523" s="48" t="s">
        <v>90</v>
      </c>
      <c r="F523" s="48" t="s">
        <v>92</v>
      </c>
      <c r="G523" s="50">
        <f t="shared" si="255"/>
        <v>347.90534999999994</v>
      </c>
      <c r="H523" s="49">
        <f>37+2.9-27.8038-6.4462+9.6612+2.15</f>
        <v>17.461199999999998</v>
      </c>
      <c r="I523" s="50">
        <f>16.95+19.456+23.02974+54+97.287-26.2394</f>
        <v>184.48334</v>
      </c>
      <c r="J523" s="49">
        <f>6.749+26.2394+6+28.61841+6+57.354-20.28641</f>
        <v>110.67439999999998</v>
      </c>
      <c r="K523" s="50">
        <f>20.28641+15</f>
        <v>35.286410000000004</v>
      </c>
      <c r="L523" s="51">
        <v>148.3</v>
      </c>
      <c r="M523" s="51">
        <v>148.3</v>
      </c>
      <c r="N523" s="31"/>
      <c r="O523" s="31"/>
    </row>
    <row r="524" spans="1:15" ht="15" customHeight="1">
      <c r="A524" s="41" t="s">
        <v>270</v>
      </c>
      <c r="B524" s="48" t="s">
        <v>76</v>
      </c>
      <c r="C524" s="48" t="s">
        <v>87</v>
      </c>
      <c r="D524" s="48" t="s">
        <v>178</v>
      </c>
      <c r="E524" s="48" t="s">
        <v>90</v>
      </c>
      <c r="F524" s="48" t="s">
        <v>116</v>
      </c>
      <c r="G524" s="50">
        <f t="shared" si="255"/>
        <v>16.24843</v>
      </c>
      <c r="H524" s="51">
        <f>388.6+388.7-767.3</f>
        <v>10</v>
      </c>
      <c r="I524" s="45">
        <f>388.6+388.6-777.2</f>
        <v>0</v>
      </c>
      <c r="J524" s="50">
        <f>388.6+388.6-777.2+2.04243</f>
        <v>2.04243</v>
      </c>
      <c r="K524" s="53">
        <v>4.206</v>
      </c>
      <c r="L524" s="51">
        <v>1554.5</v>
      </c>
      <c r="M524" s="51">
        <v>1554.5</v>
      </c>
      <c r="N524" s="31"/>
      <c r="O524" s="31"/>
    </row>
    <row r="525" spans="1:15" ht="14.25" customHeight="1" hidden="1">
      <c r="A525" s="43" t="s">
        <v>32</v>
      </c>
      <c r="B525" s="48" t="s">
        <v>76</v>
      </c>
      <c r="C525" s="48" t="s">
        <v>87</v>
      </c>
      <c r="D525" s="48" t="s">
        <v>178</v>
      </c>
      <c r="E525" s="48" t="s">
        <v>90</v>
      </c>
      <c r="F525" s="48" t="s">
        <v>118</v>
      </c>
      <c r="G525" s="50">
        <f t="shared" si="255"/>
        <v>0</v>
      </c>
      <c r="H525" s="50">
        <v>0</v>
      </c>
      <c r="I525" s="50">
        <f>100-67.41735-32.58265</f>
        <v>0</v>
      </c>
      <c r="J525" s="50">
        <f>32.58265+67.41735-100</f>
        <v>0</v>
      </c>
      <c r="K525" s="50">
        <f>500-500</f>
        <v>0</v>
      </c>
      <c r="L525" s="50">
        <f>32.58265+67.41735-100</f>
        <v>0</v>
      </c>
      <c r="M525" s="51">
        <f>500-500</f>
        <v>0</v>
      </c>
      <c r="N525" s="31"/>
      <c r="O525" s="31"/>
    </row>
    <row r="526" spans="1:15" ht="15" customHeight="1">
      <c r="A526" s="43" t="s">
        <v>330</v>
      </c>
      <c r="B526" s="48" t="s">
        <v>76</v>
      </c>
      <c r="C526" s="48" t="s">
        <v>87</v>
      </c>
      <c r="D526" s="48" t="s">
        <v>178</v>
      </c>
      <c r="E526" s="48" t="s">
        <v>90</v>
      </c>
      <c r="F526" s="48" t="s">
        <v>268</v>
      </c>
      <c r="G526" s="50">
        <f t="shared" si="255"/>
        <v>422.52494</v>
      </c>
      <c r="H526" s="45">
        <v>0</v>
      </c>
      <c r="I526" s="53">
        <f>10.7+82.03+1.295-38.852</f>
        <v>55.17300000000001</v>
      </c>
      <c r="J526" s="49">
        <f>156.2+8.5+38.852+30.6138+23.931+6.198-38.852</f>
        <v>225.44279999999995</v>
      </c>
      <c r="K526" s="50">
        <f>38.852+9.4-19.206+361.15098-248.28784</f>
        <v>141.90914</v>
      </c>
      <c r="L526" s="45">
        <v>0</v>
      </c>
      <c r="M526" s="51">
        <v>350</v>
      </c>
      <c r="N526" s="31"/>
      <c r="O526" s="31"/>
    </row>
    <row r="527" spans="1:15" ht="30.75" customHeight="1">
      <c r="A527" s="61" t="s">
        <v>451</v>
      </c>
      <c r="B527" s="48" t="s">
        <v>76</v>
      </c>
      <c r="C527" s="48" t="s">
        <v>87</v>
      </c>
      <c r="D527" s="48" t="s">
        <v>452</v>
      </c>
      <c r="E527" s="48" t="s">
        <v>105</v>
      </c>
      <c r="F527" s="48" t="s">
        <v>63</v>
      </c>
      <c r="G527" s="51">
        <f t="shared" si="255"/>
        <v>1902.3000000000002</v>
      </c>
      <c r="H527" s="51">
        <f>H528+H530+H531+H532+H529</f>
        <v>475.6</v>
      </c>
      <c r="I527" s="51">
        <f>I528+I530+I531+I532+I529</f>
        <v>475.6</v>
      </c>
      <c r="J527" s="51">
        <f>J528+J530+J531+J532+J529</f>
        <v>475.6</v>
      </c>
      <c r="K527" s="51">
        <f>K528+K530+K531+K532+K529</f>
        <v>475.5</v>
      </c>
      <c r="L527" s="45">
        <f>L528+L530+L531+L532</f>
        <v>0</v>
      </c>
      <c r="M527" s="45">
        <f>M528+M530+M531+M532</f>
        <v>0</v>
      </c>
      <c r="N527" s="31"/>
      <c r="O527" s="31"/>
    </row>
    <row r="528" spans="1:15" ht="16.5" customHeight="1">
      <c r="A528" s="41" t="s">
        <v>25</v>
      </c>
      <c r="B528" s="48" t="s">
        <v>76</v>
      </c>
      <c r="C528" s="48" t="s">
        <v>87</v>
      </c>
      <c r="D528" s="48" t="s">
        <v>452</v>
      </c>
      <c r="E528" s="48" t="s">
        <v>90</v>
      </c>
      <c r="F528" s="48" t="s">
        <v>263</v>
      </c>
      <c r="G528" s="50">
        <f t="shared" si="255"/>
        <v>126.32150999999999</v>
      </c>
      <c r="H528" s="51">
        <v>56.5</v>
      </c>
      <c r="I528" s="51">
        <v>56.6</v>
      </c>
      <c r="J528" s="51">
        <v>56.5</v>
      </c>
      <c r="K528" s="50">
        <f>56.5-99.77849</f>
        <v>-43.278490000000005</v>
      </c>
      <c r="L528" s="45">
        <v>0</v>
      </c>
      <c r="M528" s="45">
        <v>0</v>
      </c>
      <c r="N528" s="31"/>
      <c r="O528" s="31"/>
    </row>
    <row r="529" spans="1:15" ht="16.5" customHeight="1">
      <c r="A529" s="41" t="s">
        <v>440</v>
      </c>
      <c r="B529" s="48" t="s">
        <v>76</v>
      </c>
      <c r="C529" s="48" t="s">
        <v>87</v>
      </c>
      <c r="D529" s="48" t="s">
        <v>452</v>
      </c>
      <c r="E529" s="48" t="s">
        <v>90</v>
      </c>
      <c r="F529" s="48" t="s">
        <v>441</v>
      </c>
      <c r="G529" s="50">
        <f t="shared" si="255"/>
        <v>8.02189</v>
      </c>
      <c r="H529" s="50"/>
      <c r="I529" s="51"/>
      <c r="J529" s="51"/>
      <c r="K529" s="50">
        <v>8.02189</v>
      </c>
      <c r="L529" s="45"/>
      <c r="M529" s="45"/>
      <c r="N529" s="31"/>
      <c r="O529" s="31"/>
    </row>
    <row r="530" spans="1:15" ht="16.5" customHeight="1">
      <c r="A530" s="41" t="s">
        <v>308</v>
      </c>
      <c r="B530" s="48" t="s">
        <v>76</v>
      </c>
      <c r="C530" s="48" t="s">
        <v>87</v>
      </c>
      <c r="D530" s="48" t="s">
        <v>452</v>
      </c>
      <c r="E530" s="48" t="s">
        <v>90</v>
      </c>
      <c r="F530" s="48" t="s">
        <v>91</v>
      </c>
      <c r="G530" s="51">
        <f t="shared" si="255"/>
        <v>0.3499999999999943</v>
      </c>
      <c r="H530" s="51">
        <v>27.5</v>
      </c>
      <c r="I530" s="51">
        <v>27.5</v>
      </c>
      <c r="J530" s="51">
        <v>27.6</v>
      </c>
      <c r="K530" s="51">
        <f>27.5-109.75</f>
        <v>-82.25</v>
      </c>
      <c r="L530" s="45">
        <v>0</v>
      </c>
      <c r="M530" s="45">
        <v>0</v>
      </c>
      <c r="N530" s="31"/>
      <c r="O530" s="31"/>
    </row>
    <row r="531" spans="1:15" ht="15" customHeight="1">
      <c r="A531" s="43" t="s">
        <v>305</v>
      </c>
      <c r="B531" s="48" t="s">
        <v>76</v>
      </c>
      <c r="C531" s="48" t="s">
        <v>87</v>
      </c>
      <c r="D531" s="48" t="s">
        <v>452</v>
      </c>
      <c r="E531" s="48" t="s">
        <v>90</v>
      </c>
      <c r="F531" s="48" t="s">
        <v>92</v>
      </c>
      <c r="G531" s="49">
        <f t="shared" si="255"/>
        <v>27.725399999999997</v>
      </c>
      <c r="H531" s="51">
        <v>2.9</v>
      </c>
      <c r="I531" s="51">
        <v>2.9</v>
      </c>
      <c r="J531" s="51">
        <v>2.9</v>
      </c>
      <c r="K531" s="49">
        <f>2.9+16.1254</f>
        <v>19.025399999999998</v>
      </c>
      <c r="L531" s="45">
        <v>0</v>
      </c>
      <c r="M531" s="45">
        <v>0</v>
      </c>
      <c r="N531" s="31"/>
      <c r="O531" s="31"/>
    </row>
    <row r="532" spans="1:15" ht="23.25" customHeight="1">
      <c r="A532" s="41" t="s">
        <v>270</v>
      </c>
      <c r="B532" s="48" t="s">
        <v>76</v>
      </c>
      <c r="C532" s="48" t="s">
        <v>87</v>
      </c>
      <c r="D532" s="48" t="s">
        <v>452</v>
      </c>
      <c r="E532" s="48" t="s">
        <v>90</v>
      </c>
      <c r="F532" s="48" t="s">
        <v>116</v>
      </c>
      <c r="G532" s="49">
        <f t="shared" si="255"/>
        <v>1739.8812000000003</v>
      </c>
      <c r="H532" s="51">
        <v>388.7</v>
      </c>
      <c r="I532" s="51">
        <v>388.6</v>
      </c>
      <c r="J532" s="51">
        <v>388.6</v>
      </c>
      <c r="K532" s="49">
        <f>388.6+185.3812</f>
        <v>573.9812000000001</v>
      </c>
      <c r="L532" s="45">
        <v>0</v>
      </c>
      <c r="M532" s="45">
        <v>0</v>
      </c>
      <c r="N532" s="31"/>
      <c r="O532" s="31"/>
    </row>
    <row r="533" spans="1:15" ht="51.75" customHeight="1">
      <c r="A533" s="61" t="s">
        <v>453</v>
      </c>
      <c r="B533" s="75" t="s">
        <v>76</v>
      </c>
      <c r="C533" s="48" t="s">
        <v>87</v>
      </c>
      <c r="D533" s="48" t="s">
        <v>201</v>
      </c>
      <c r="E533" s="48" t="s">
        <v>131</v>
      </c>
      <c r="F533" s="48"/>
      <c r="G533" s="53">
        <f t="shared" si="255"/>
        <v>364.76700000000017</v>
      </c>
      <c r="H533" s="45">
        <f aca="true" t="shared" si="257" ref="H533:M533">H534</f>
        <v>0</v>
      </c>
      <c r="I533" s="53">
        <f t="shared" si="257"/>
        <v>244.69500000000002</v>
      </c>
      <c r="J533" s="45">
        <f t="shared" si="257"/>
        <v>0</v>
      </c>
      <c r="K533" s="53">
        <f t="shared" si="257"/>
        <v>120.07200000000012</v>
      </c>
      <c r="L533" s="45">
        <f t="shared" si="257"/>
        <v>0</v>
      </c>
      <c r="M533" s="45">
        <f t="shared" si="257"/>
        <v>0</v>
      </c>
      <c r="N533" s="31"/>
      <c r="O533" s="31"/>
    </row>
    <row r="534" spans="1:15" ht="24" customHeight="1">
      <c r="A534" s="43" t="s">
        <v>265</v>
      </c>
      <c r="B534" s="75" t="s">
        <v>76</v>
      </c>
      <c r="C534" s="48" t="s">
        <v>87</v>
      </c>
      <c r="D534" s="48" t="s">
        <v>201</v>
      </c>
      <c r="E534" s="48" t="s">
        <v>106</v>
      </c>
      <c r="F534" s="48" t="s">
        <v>118</v>
      </c>
      <c r="G534" s="53">
        <f t="shared" si="255"/>
        <v>364.76700000000017</v>
      </c>
      <c r="H534" s="45">
        <f>475.6-475.6</f>
        <v>0</v>
      </c>
      <c r="I534" s="53">
        <f>475.6+475.6-400-16.95-106.03-46.42974-79.855-57.24026</f>
        <v>244.69500000000002</v>
      </c>
      <c r="J534" s="45">
        <f>475.6-40.04674-156.2-157.775-35.01841-30.6138-29.931-2.04243+45-68.97262</f>
        <v>0</v>
      </c>
      <c r="K534" s="53">
        <f>475.5-102.292+68.97262-411.5848+1187.15895-1097.68277</f>
        <v>120.07200000000012</v>
      </c>
      <c r="L534" s="45">
        <v>0</v>
      </c>
      <c r="M534" s="45">
        <v>0</v>
      </c>
      <c r="N534" s="31"/>
      <c r="O534" s="31"/>
    </row>
    <row r="535" spans="1:26" ht="27" customHeight="1">
      <c r="A535" s="62" t="s">
        <v>177</v>
      </c>
      <c r="B535" s="55" t="s">
        <v>76</v>
      </c>
      <c r="C535" s="55" t="s">
        <v>121</v>
      </c>
      <c r="D535" s="55" t="s">
        <v>151</v>
      </c>
      <c r="E535" s="55" t="s">
        <v>59</v>
      </c>
      <c r="F535" s="55"/>
      <c r="G535" s="58">
        <f t="shared" si="255"/>
        <v>359.5</v>
      </c>
      <c r="H535" s="56">
        <f aca="true" t="shared" si="258" ref="H535:M536">H536</f>
        <v>54.798820000000006</v>
      </c>
      <c r="I535" s="56">
        <f t="shared" si="258"/>
        <v>75.90469</v>
      </c>
      <c r="J535" s="58">
        <f t="shared" si="258"/>
        <v>62</v>
      </c>
      <c r="K535" s="56">
        <f t="shared" si="258"/>
        <v>166.79649</v>
      </c>
      <c r="L535" s="58">
        <f t="shared" si="258"/>
        <v>287</v>
      </c>
      <c r="M535" s="58">
        <f t="shared" si="258"/>
        <v>287</v>
      </c>
      <c r="N535" s="31"/>
      <c r="O535" s="31"/>
      <c r="Z535" s="12">
        <f>G535</f>
        <v>359.5</v>
      </c>
    </row>
    <row r="536" spans="1:15" ht="42" customHeight="1">
      <c r="A536" s="62" t="s">
        <v>279</v>
      </c>
      <c r="B536" s="55" t="s">
        <v>76</v>
      </c>
      <c r="C536" s="55" t="s">
        <v>121</v>
      </c>
      <c r="D536" s="55" t="s">
        <v>325</v>
      </c>
      <c r="E536" s="55" t="s">
        <v>59</v>
      </c>
      <c r="F536" s="48"/>
      <c r="G536" s="58">
        <f t="shared" si="255"/>
        <v>359.5</v>
      </c>
      <c r="H536" s="56">
        <f>H537</f>
        <v>54.798820000000006</v>
      </c>
      <c r="I536" s="56">
        <f t="shared" si="258"/>
        <v>75.90469</v>
      </c>
      <c r="J536" s="56">
        <f t="shared" si="258"/>
        <v>62</v>
      </c>
      <c r="K536" s="56">
        <f t="shared" si="258"/>
        <v>166.79649</v>
      </c>
      <c r="L536" s="56">
        <f t="shared" si="258"/>
        <v>287</v>
      </c>
      <c r="M536" s="56">
        <f t="shared" si="258"/>
        <v>287</v>
      </c>
      <c r="N536" s="31"/>
      <c r="O536" s="31"/>
    </row>
    <row r="537" spans="1:38" ht="57" customHeight="1">
      <c r="A537" s="61" t="s">
        <v>454</v>
      </c>
      <c r="B537" s="48" t="s">
        <v>76</v>
      </c>
      <c r="C537" s="48" t="s">
        <v>121</v>
      </c>
      <c r="D537" s="48" t="s">
        <v>179</v>
      </c>
      <c r="E537" s="48" t="s">
        <v>90</v>
      </c>
      <c r="F537" s="48" t="s">
        <v>63</v>
      </c>
      <c r="G537" s="51">
        <f>H537+I537+J537+K537</f>
        <v>359.5</v>
      </c>
      <c r="H537" s="50">
        <f aca="true" t="shared" si="259" ref="H537:M537">H538+H539+H540+H541</f>
        <v>54.798820000000006</v>
      </c>
      <c r="I537" s="50">
        <f t="shared" si="259"/>
        <v>75.90469</v>
      </c>
      <c r="J537" s="50">
        <f t="shared" si="259"/>
        <v>62</v>
      </c>
      <c r="K537" s="50">
        <f t="shared" si="259"/>
        <v>166.79649</v>
      </c>
      <c r="L537" s="50">
        <f t="shared" si="259"/>
        <v>287</v>
      </c>
      <c r="M537" s="50">
        <f t="shared" si="259"/>
        <v>287</v>
      </c>
      <c r="N537" s="50">
        <f aca="true" t="shared" si="260" ref="N537:AL537">N538+N539+N540+N543+N541</f>
        <v>0</v>
      </c>
      <c r="O537" s="50">
        <f t="shared" si="260"/>
        <v>0</v>
      </c>
      <c r="P537" s="50">
        <f t="shared" si="260"/>
        <v>0</v>
      </c>
      <c r="Q537" s="50">
        <f t="shared" si="260"/>
        <v>0</v>
      </c>
      <c r="R537" s="50">
        <f t="shared" si="260"/>
        <v>0</v>
      </c>
      <c r="S537" s="50">
        <f t="shared" si="260"/>
        <v>0</v>
      </c>
      <c r="T537" s="50">
        <f t="shared" si="260"/>
        <v>0</v>
      </c>
      <c r="U537" s="50">
        <f t="shared" si="260"/>
        <v>0</v>
      </c>
      <c r="V537" s="50">
        <f t="shared" si="260"/>
        <v>0</v>
      </c>
      <c r="W537" s="50">
        <f t="shared" si="260"/>
        <v>0</v>
      </c>
      <c r="X537" s="50">
        <f t="shared" si="260"/>
        <v>0</v>
      </c>
      <c r="Y537" s="50">
        <f t="shared" si="260"/>
        <v>0</v>
      </c>
      <c r="Z537" s="50">
        <f t="shared" si="260"/>
        <v>0</v>
      </c>
      <c r="AA537" s="50">
        <f t="shared" si="260"/>
        <v>0</v>
      </c>
      <c r="AB537" s="50">
        <f t="shared" si="260"/>
        <v>0</v>
      </c>
      <c r="AC537" s="50">
        <f t="shared" si="260"/>
        <v>0</v>
      </c>
      <c r="AD537" s="50">
        <f t="shared" si="260"/>
        <v>0</v>
      </c>
      <c r="AE537" s="50">
        <f t="shared" si="260"/>
        <v>0</v>
      </c>
      <c r="AF537" s="50">
        <f t="shared" si="260"/>
        <v>0</v>
      </c>
      <c r="AG537" s="50">
        <f t="shared" si="260"/>
        <v>0</v>
      </c>
      <c r="AH537" s="50">
        <f t="shared" si="260"/>
        <v>0</v>
      </c>
      <c r="AI537" s="50">
        <f t="shared" si="260"/>
        <v>0</v>
      </c>
      <c r="AJ537" s="50">
        <f t="shared" si="260"/>
        <v>0</v>
      </c>
      <c r="AK537" s="50">
        <f t="shared" si="260"/>
        <v>0</v>
      </c>
      <c r="AL537" s="50">
        <f t="shared" si="260"/>
        <v>0</v>
      </c>
    </row>
    <row r="538" spans="1:15" ht="20.25" customHeight="1">
      <c r="A538" s="61" t="s">
        <v>21</v>
      </c>
      <c r="B538" s="48" t="s">
        <v>76</v>
      </c>
      <c r="C538" s="48" t="s">
        <v>121</v>
      </c>
      <c r="D538" s="48" t="s">
        <v>179</v>
      </c>
      <c r="E538" s="48" t="s">
        <v>90</v>
      </c>
      <c r="F538" s="48" t="s">
        <v>113</v>
      </c>
      <c r="G538" s="51">
        <f t="shared" si="255"/>
        <v>36</v>
      </c>
      <c r="H538" s="45">
        <v>0</v>
      </c>
      <c r="I538" s="51">
        <v>36</v>
      </c>
      <c r="J538" s="45">
        <v>0</v>
      </c>
      <c r="K538" s="45">
        <v>0</v>
      </c>
      <c r="L538" s="45">
        <v>0</v>
      </c>
      <c r="M538" s="45">
        <v>0</v>
      </c>
      <c r="N538" s="31"/>
      <c r="O538" s="31"/>
    </row>
    <row r="539" spans="1:15" ht="16.5" customHeight="1">
      <c r="A539" s="41" t="s">
        <v>417</v>
      </c>
      <c r="B539" s="48" t="s">
        <v>76</v>
      </c>
      <c r="C539" s="48" t="s">
        <v>121</v>
      </c>
      <c r="D539" s="48" t="s">
        <v>179</v>
      </c>
      <c r="E539" s="48" t="s">
        <v>90</v>
      </c>
      <c r="F539" s="48" t="s">
        <v>450</v>
      </c>
      <c r="G539" s="51">
        <f t="shared" si="255"/>
        <v>19</v>
      </c>
      <c r="H539" s="45">
        <v>0</v>
      </c>
      <c r="I539" s="45">
        <v>0</v>
      </c>
      <c r="J539" s="45">
        <v>0</v>
      </c>
      <c r="K539" s="51">
        <v>19</v>
      </c>
      <c r="L539" s="45">
        <v>0</v>
      </c>
      <c r="M539" s="45">
        <v>0</v>
      </c>
      <c r="N539" s="31"/>
      <c r="O539" s="31"/>
    </row>
    <row r="540" spans="1:15" ht="12.75" customHeight="1">
      <c r="A540" s="43" t="s">
        <v>305</v>
      </c>
      <c r="B540" s="48" t="s">
        <v>76</v>
      </c>
      <c r="C540" s="48" t="s">
        <v>121</v>
      </c>
      <c r="D540" s="48" t="s">
        <v>179</v>
      </c>
      <c r="E540" s="48" t="s">
        <v>90</v>
      </c>
      <c r="F540" s="48" t="s">
        <v>92</v>
      </c>
      <c r="G540" s="50">
        <f t="shared" si="255"/>
        <v>80.34449000000001</v>
      </c>
      <c r="H540" s="45">
        <v>0</v>
      </c>
      <c r="I540" s="45">
        <f>117.5-36-81.5</f>
        <v>0</v>
      </c>
      <c r="J540" s="51">
        <f>81.5-19.5</f>
        <v>62</v>
      </c>
      <c r="K540" s="50">
        <f>19.5-1.15551</f>
        <v>18.34449</v>
      </c>
      <c r="L540" s="45">
        <v>0</v>
      </c>
      <c r="M540" s="45">
        <v>0</v>
      </c>
      <c r="N540" s="31"/>
      <c r="O540" s="31"/>
    </row>
    <row r="541" spans="1:15" ht="12.75" customHeight="1">
      <c r="A541" s="43" t="s">
        <v>330</v>
      </c>
      <c r="B541" s="48" t="s">
        <v>76</v>
      </c>
      <c r="C541" s="48" t="s">
        <v>121</v>
      </c>
      <c r="D541" s="48" t="s">
        <v>179</v>
      </c>
      <c r="E541" s="48" t="s">
        <v>90</v>
      </c>
      <c r="F541" s="48" t="s">
        <v>268</v>
      </c>
      <c r="G541" s="50">
        <f>H541+I541+J541+K541</f>
        <v>224.15551</v>
      </c>
      <c r="H541" s="50">
        <f>71.7-16.90118</f>
        <v>54.798820000000006</v>
      </c>
      <c r="I541" s="50">
        <f>71.7+16.90118-48.69649</f>
        <v>39.90469</v>
      </c>
      <c r="J541" s="45">
        <f>71.8+48.69649+44.20351-45-119.7</f>
        <v>0</v>
      </c>
      <c r="K541" s="53">
        <f>71.8-44.20351+119.7-17.84449</f>
        <v>129.452</v>
      </c>
      <c r="L541" s="51">
        <v>287</v>
      </c>
      <c r="M541" s="51">
        <v>287</v>
      </c>
      <c r="N541" s="31"/>
      <c r="O541" s="31"/>
    </row>
    <row r="542" spans="1:15" ht="13.5" customHeight="1">
      <c r="A542" s="43" t="s">
        <v>455</v>
      </c>
      <c r="B542" s="42" t="s">
        <v>76</v>
      </c>
      <c r="C542" s="55" t="s">
        <v>216</v>
      </c>
      <c r="D542" s="55" t="s">
        <v>456</v>
      </c>
      <c r="E542" s="55" t="s">
        <v>125</v>
      </c>
      <c r="F542" s="48"/>
      <c r="G542" s="58">
        <f>H542+I542+J542+K542</f>
        <v>103.72</v>
      </c>
      <c r="H542" s="60">
        <f aca="true" t="shared" si="261" ref="H542:M542">H543</f>
        <v>0</v>
      </c>
      <c r="I542" s="60">
        <f t="shared" si="261"/>
        <v>0</v>
      </c>
      <c r="J542" s="58">
        <f t="shared" si="261"/>
        <v>103.72</v>
      </c>
      <c r="K542" s="60">
        <f t="shared" si="261"/>
        <v>0</v>
      </c>
      <c r="L542" s="60">
        <f t="shared" si="261"/>
        <v>0</v>
      </c>
      <c r="M542" s="60">
        <f t="shared" si="261"/>
        <v>0</v>
      </c>
      <c r="N542" s="31"/>
      <c r="O542" s="31"/>
    </row>
    <row r="543" spans="1:15" ht="29.25" customHeight="1">
      <c r="A543" s="43" t="s">
        <v>265</v>
      </c>
      <c r="B543" s="48" t="s">
        <v>76</v>
      </c>
      <c r="C543" s="48" t="s">
        <v>216</v>
      </c>
      <c r="D543" s="48" t="s">
        <v>456</v>
      </c>
      <c r="E543" s="48" t="s">
        <v>95</v>
      </c>
      <c r="F543" s="48" t="s">
        <v>53</v>
      </c>
      <c r="G543" s="51">
        <f>H543+I543+J543+K543</f>
        <v>103.72</v>
      </c>
      <c r="H543" s="45">
        <f>100-100</f>
        <v>0</v>
      </c>
      <c r="I543" s="45">
        <f>100-100</f>
        <v>0</v>
      </c>
      <c r="J543" s="51">
        <v>103.72</v>
      </c>
      <c r="K543" s="45">
        <v>0</v>
      </c>
      <c r="L543" s="45">
        <v>0</v>
      </c>
      <c r="M543" s="45">
        <v>0</v>
      </c>
      <c r="N543" s="31"/>
      <c r="O543" s="31"/>
    </row>
    <row r="544" spans="1:15" ht="30" customHeight="1">
      <c r="A544" s="62" t="s">
        <v>214</v>
      </c>
      <c r="B544" s="42">
        <v>708</v>
      </c>
      <c r="C544" s="55"/>
      <c r="D544" s="48"/>
      <c r="E544" s="48"/>
      <c r="F544" s="41"/>
      <c r="G544" s="50"/>
      <c r="H544" s="50"/>
      <c r="I544" s="50"/>
      <c r="J544" s="50"/>
      <c r="K544" s="45"/>
      <c r="L544" s="45"/>
      <c r="M544" s="45"/>
      <c r="N544" s="31"/>
      <c r="O544" s="31"/>
    </row>
    <row r="545" spans="1:15" ht="13.5" customHeight="1">
      <c r="A545" s="62" t="s">
        <v>215</v>
      </c>
      <c r="B545" s="42">
        <v>708</v>
      </c>
      <c r="C545" s="55" t="s">
        <v>216</v>
      </c>
      <c r="D545" s="55" t="s">
        <v>248</v>
      </c>
      <c r="E545" s="55" t="s">
        <v>128</v>
      </c>
      <c r="F545" s="55"/>
      <c r="G545" s="57">
        <f>H545+I545+J545+K545</f>
        <v>205.375</v>
      </c>
      <c r="H545" s="60">
        <f aca="true" t="shared" si="262" ref="H545:M545">H546</f>
        <v>0</v>
      </c>
      <c r="I545" s="60">
        <f t="shared" si="262"/>
        <v>0</v>
      </c>
      <c r="J545" s="57">
        <f t="shared" si="262"/>
        <v>205.375</v>
      </c>
      <c r="K545" s="60">
        <f t="shared" si="262"/>
        <v>0</v>
      </c>
      <c r="L545" s="60">
        <f t="shared" si="262"/>
        <v>0</v>
      </c>
      <c r="M545" s="60">
        <f t="shared" si="262"/>
        <v>0</v>
      </c>
      <c r="N545" s="31"/>
      <c r="O545" s="31"/>
    </row>
    <row r="546" spans="1:15" ht="13.5" customHeight="1">
      <c r="A546" s="43" t="s">
        <v>29</v>
      </c>
      <c r="B546" s="41">
        <v>708</v>
      </c>
      <c r="C546" s="48" t="s">
        <v>216</v>
      </c>
      <c r="D546" s="48" t="s">
        <v>248</v>
      </c>
      <c r="E546" s="48" t="s">
        <v>217</v>
      </c>
      <c r="F546" s="48" t="s">
        <v>50</v>
      </c>
      <c r="G546" s="53">
        <f>H546+I546+J546+K546</f>
        <v>205.375</v>
      </c>
      <c r="H546" s="45">
        <v>0</v>
      </c>
      <c r="I546" s="45">
        <v>0</v>
      </c>
      <c r="J546" s="53">
        <v>205.375</v>
      </c>
      <c r="K546" s="45">
        <v>0</v>
      </c>
      <c r="L546" s="45">
        <v>0</v>
      </c>
      <c r="M546" s="45">
        <v>0</v>
      </c>
      <c r="N546" s="31"/>
      <c r="O546" s="31"/>
    </row>
    <row r="547" spans="1:26" ht="12" customHeight="1">
      <c r="A547" s="62" t="s">
        <v>73</v>
      </c>
      <c r="B547" s="55"/>
      <c r="C547" s="55"/>
      <c r="D547" s="55"/>
      <c r="E547" s="55"/>
      <c r="F547" s="55"/>
      <c r="G547" s="56">
        <f>H547+I547+J547+K547</f>
        <v>187545.72592</v>
      </c>
      <c r="H547" s="56">
        <v>18176.28812</v>
      </c>
      <c r="I547" s="56">
        <v>24948.34559</v>
      </c>
      <c r="J547" s="56">
        <v>29212.19094</v>
      </c>
      <c r="K547" s="56">
        <v>115208.90127</v>
      </c>
      <c r="L547" s="58">
        <v>118384.6</v>
      </c>
      <c r="M547" s="58">
        <v>122921.6</v>
      </c>
      <c r="N547" s="31"/>
      <c r="O547" s="31"/>
      <c r="Z547" s="37" t="e">
        <f>Z116+Z191+Z197+Z261+Z385+Z388+Z477+Z489+Z535</f>
        <v>#REF!</v>
      </c>
    </row>
    <row r="548" spans="1:15" ht="15" customHeight="1">
      <c r="A548" s="43" t="s">
        <v>15</v>
      </c>
      <c r="B548" s="48"/>
      <c r="C548" s="48"/>
      <c r="D548" s="48"/>
      <c r="E548" s="48"/>
      <c r="F548" s="48" t="s">
        <v>39</v>
      </c>
      <c r="G548" s="50">
        <f>H548+I548+J548+K548</f>
        <v>48950.21051999999</v>
      </c>
      <c r="H548" s="51">
        <f aca="true" t="shared" si="263" ref="H548:M548">H549+H551</f>
        <v>9805.78159</v>
      </c>
      <c r="I548" s="51">
        <f t="shared" si="263"/>
        <v>9463.801</v>
      </c>
      <c r="J548" s="51">
        <f t="shared" si="263"/>
        <v>11822.55704</v>
      </c>
      <c r="K548" s="51">
        <f t="shared" si="263"/>
        <v>17858.07089</v>
      </c>
      <c r="L548" s="51">
        <f t="shared" si="263"/>
        <v>48005.1</v>
      </c>
      <c r="M548" s="51">
        <f t="shared" si="263"/>
        <v>48005.1</v>
      </c>
      <c r="N548" s="31"/>
      <c r="O548" s="31"/>
    </row>
    <row r="549" spans="1:15" ht="15.75" customHeight="1">
      <c r="A549" s="41" t="s">
        <v>16</v>
      </c>
      <c r="B549" s="48"/>
      <c r="C549" s="48"/>
      <c r="D549" s="48"/>
      <c r="E549" s="48"/>
      <c r="F549" s="48" t="s">
        <v>40</v>
      </c>
      <c r="G549" s="50">
        <f aca="true" t="shared" si="264" ref="G549:G591">H549+I549+J549+K549</f>
        <v>37858.346269999995</v>
      </c>
      <c r="H549" s="50">
        <v>7680.88774</v>
      </c>
      <c r="I549" s="50">
        <v>7415.27417</v>
      </c>
      <c r="J549" s="50">
        <v>9057.67036</v>
      </c>
      <c r="K549" s="50">
        <v>13704.514</v>
      </c>
      <c r="L549" s="51">
        <v>36870.5</v>
      </c>
      <c r="M549" s="51">
        <v>36870.5</v>
      </c>
      <c r="N549" s="31"/>
      <c r="O549" s="31"/>
    </row>
    <row r="550" spans="1:15" ht="15.75" customHeight="1">
      <c r="A550" s="41" t="s">
        <v>17</v>
      </c>
      <c r="B550" s="48"/>
      <c r="C550" s="48"/>
      <c r="D550" s="48"/>
      <c r="E550" s="48"/>
      <c r="F550" s="48" t="s">
        <v>41</v>
      </c>
      <c r="G550" s="50">
        <f t="shared" si="264"/>
        <v>30.4</v>
      </c>
      <c r="H550" s="45">
        <v>0</v>
      </c>
      <c r="I550" s="51">
        <v>24</v>
      </c>
      <c r="J550" s="51">
        <v>6.4</v>
      </c>
      <c r="K550" s="45">
        <v>0</v>
      </c>
      <c r="L550" s="45">
        <v>0</v>
      </c>
      <c r="M550" s="45">
        <v>0</v>
      </c>
      <c r="N550" s="31"/>
      <c r="O550" s="31"/>
    </row>
    <row r="551" spans="1:15" ht="15.75" customHeight="1">
      <c r="A551" s="41" t="s">
        <v>18</v>
      </c>
      <c r="B551" s="48"/>
      <c r="C551" s="48"/>
      <c r="D551" s="48"/>
      <c r="E551" s="48"/>
      <c r="F551" s="48" t="s">
        <v>42</v>
      </c>
      <c r="G551" s="50">
        <f t="shared" si="264"/>
        <v>11091.864249999999</v>
      </c>
      <c r="H551" s="50">
        <v>2124.89385</v>
      </c>
      <c r="I551" s="50">
        <v>2048.52683</v>
      </c>
      <c r="J551" s="50">
        <v>2764.88668</v>
      </c>
      <c r="K551" s="50">
        <v>4153.55689</v>
      </c>
      <c r="L551" s="51">
        <v>11134.6</v>
      </c>
      <c r="M551" s="51">
        <v>11134.6</v>
      </c>
      <c r="N551" s="31"/>
      <c r="O551" s="31"/>
    </row>
    <row r="552" spans="1:15" ht="15.75" customHeight="1">
      <c r="A552" s="41" t="s">
        <v>19</v>
      </c>
      <c r="B552" s="48"/>
      <c r="C552" s="48"/>
      <c r="D552" s="48"/>
      <c r="E552" s="48"/>
      <c r="F552" s="48" t="s">
        <v>44</v>
      </c>
      <c r="G552" s="50">
        <f t="shared" si="264"/>
        <v>37468.74478</v>
      </c>
      <c r="H552" s="50">
        <v>4932.11327</v>
      </c>
      <c r="I552" s="50">
        <v>5081.4591</v>
      </c>
      <c r="J552" s="50">
        <v>12106.67871</v>
      </c>
      <c r="K552" s="50">
        <v>15348.4937</v>
      </c>
      <c r="L552" s="51">
        <v>20615.51</v>
      </c>
      <c r="M552" s="51">
        <v>22262.11</v>
      </c>
      <c r="N552" s="31"/>
      <c r="O552" s="31"/>
    </row>
    <row r="553" spans="1:15" ht="15.75" customHeight="1">
      <c r="A553" s="41" t="s">
        <v>20</v>
      </c>
      <c r="B553" s="48"/>
      <c r="C553" s="48"/>
      <c r="D553" s="48"/>
      <c r="E553" s="48"/>
      <c r="F553" s="48" t="s">
        <v>45</v>
      </c>
      <c r="G553" s="50">
        <f t="shared" si="264"/>
        <v>436.81183</v>
      </c>
      <c r="H553" s="50">
        <v>101.92482</v>
      </c>
      <c r="I553" s="50">
        <v>106.14921</v>
      </c>
      <c r="J553" s="50">
        <v>95.36129</v>
      </c>
      <c r="K553" s="50">
        <v>133.37651</v>
      </c>
      <c r="L553" s="51">
        <v>389.4</v>
      </c>
      <c r="M553" s="51">
        <v>405</v>
      </c>
      <c r="N553" s="31"/>
      <c r="O553" s="31"/>
    </row>
    <row r="554" spans="1:15" ht="15.75" customHeight="1">
      <c r="A554" s="41" t="s">
        <v>21</v>
      </c>
      <c r="B554" s="48"/>
      <c r="C554" s="48"/>
      <c r="D554" s="48"/>
      <c r="E554" s="48"/>
      <c r="F554" s="48" t="s">
        <v>46</v>
      </c>
      <c r="G554" s="50">
        <f t="shared" si="264"/>
        <v>220.21813</v>
      </c>
      <c r="H554" s="50">
        <v>109.37613</v>
      </c>
      <c r="I554" s="53">
        <v>108.052</v>
      </c>
      <c r="J554" s="45">
        <v>0</v>
      </c>
      <c r="K554" s="51">
        <v>2.79</v>
      </c>
      <c r="L554" s="51">
        <v>30</v>
      </c>
      <c r="M554" s="51">
        <v>30</v>
      </c>
      <c r="N554" s="31"/>
      <c r="O554" s="31"/>
    </row>
    <row r="555" spans="1:15" ht="15.75" customHeight="1">
      <c r="A555" s="41" t="s">
        <v>22</v>
      </c>
      <c r="B555" s="48"/>
      <c r="C555" s="48"/>
      <c r="D555" s="48"/>
      <c r="E555" s="48"/>
      <c r="F555" s="48" t="s">
        <v>47</v>
      </c>
      <c r="G555" s="50">
        <f t="shared" si="264"/>
        <v>9396.685010000001</v>
      </c>
      <c r="H555" s="50">
        <f aca="true" t="shared" si="265" ref="H555:M555">H557+H558+H559+H560+H561</f>
        <v>3313.9025400000005</v>
      </c>
      <c r="I555" s="50">
        <f t="shared" si="265"/>
        <v>1767.2875199999999</v>
      </c>
      <c r="J555" s="45">
        <f t="shared" si="265"/>
        <v>809.0690899999998</v>
      </c>
      <c r="K555" s="50">
        <f t="shared" si="265"/>
        <v>3506.42586</v>
      </c>
      <c r="L555" s="51">
        <f t="shared" si="265"/>
        <v>7094.599999999999</v>
      </c>
      <c r="M555" s="51">
        <f t="shared" si="265"/>
        <v>8728.4</v>
      </c>
      <c r="N555" s="31"/>
      <c r="O555" s="31"/>
    </row>
    <row r="556" spans="1:15" ht="12.75" customHeight="1">
      <c r="A556" s="41" t="s">
        <v>23</v>
      </c>
      <c r="B556" s="48"/>
      <c r="C556" s="48"/>
      <c r="D556" s="48"/>
      <c r="E556" s="48"/>
      <c r="F556" s="48"/>
      <c r="G556" s="50"/>
      <c r="H556" s="50"/>
      <c r="I556" s="50"/>
      <c r="J556" s="45"/>
      <c r="K556" s="50"/>
      <c r="L556" s="51"/>
      <c r="M556" s="51"/>
      <c r="N556" s="31"/>
      <c r="O556" s="31"/>
    </row>
    <row r="557" spans="1:15" ht="15.75" customHeight="1">
      <c r="A557" s="41" t="s">
        <v>24</v>
      </c>
      <c r="B557" s="48"/>
      <c r="C557" s="48"/>
      <c r="D557" s="48"/>
      <c r="E557" s="48"/>
      <c r="F557" s="48" t="s">
        <v>187</v>
      </c>
      <c r="G557" s="50">
        <f t="shared" si="264"/>
        <v>1983.6248</v>
      </c>
      <c r="H557" s="50">
        <v>512.53893</v>
      </c>
      <c r="I557" s="50">
        <v>604.84655</v>
      </c>
      <c r="J557" s="45">
        <v>0</v>
      </c>
      <c r="K557" s="50">
        <v>866.23932</v>
      </c>
      <c r="L557" s="51">
        <v>1942.4</v>
      </c>
      <c r="M557" s="51">
        <v>2020.2</v>
      </c>
      <c r="N557" s="31"/>
      <c r="O557" s="31"/>
    </row>
    <row r="558" spans="1:15" ht="14.25" customHeight="1">
      <c r="A558" s="41" t="s">
        <v>25</v>
      </c>
      <c r="B558" s="48"/>
      <c r="C558" s="48"/>
      <c r="D558" s="48"/>
      <c r="E558" s="48"/>
      <c r="F558" s="48" t="s">
        <v>188</v>
      </c>
      <c r="G558" s="50">
        <f t="shared" si="264"/>
        <v>7047.06435</v>
      </c>
      <c r="H558" s="50">
        <v>2779.83944</v>
      </c>
      <c r="I558" s="50">
        <v>1079.13134</v>
      </c>
      <c r="J558" s="50">
        <v>656.6759</v>
      </c>
      <c r="K558" s="50">
        <v>2531.41767</v>
      </c>
      <c r="L558" s="51">
        <v>5085.5</v>
      </c>
      <c r="M558" s="51">
        <v>6638.8</v>
      </c>
      <c r="N558" s="31"/>
      <c r="O558" s="31"/>
    </row>
    <row r="559" spans="1:15" ht="14.25" customHeight="1">
      <c r="A559" s="41" t="s">
        <v>26</v>
      </c>
      <c r="B559" s="48"/>
      <c r="C559" s="48"/>
      <c r="D559" s="48"/>
      <c r="E559" s="48"/>
      <c r="F559" s="48" t="s">
        <v>189</v>
      </c>
      <c r="G559" s="50">
        <f t="shared" si="264"/>
        <v>48.65861</v>
      </c>
      <c r="H559" s="50">
        <v>13.54241</v>
      </c>
      <c r="I559" s="50">
        <v>16.25896</v>
      </c>
      <c r="J559" s="50">
        <v>5.26776</v>
      </c>
      <c r="K559" s="50">
        <v>13.58948</v>
      </c>
      <c r="L559" s="51">
        <v>64.4</v>
      </c>
      <c r="M559" s="51">
        <v>67.1</v>
      </c>
      <c r="N559" s="31"/>
      <c r="O559" s="31"/>
    </row>
    <row r="560" spans="1:15" ht="14.25" customHeight="1">
      <c r="A560" s="41" t="s">
        <v>203</v>
      </c>
      <c r="B560" s="48"/>
      <c r="C560" s="48"/>
      <c r="D560" s="48"/>
      <c r="E560" s="48"/>
      <c r="F560" s="48" t="s">
        <v>191</v>
      </c>
      <c r="G560" s="50">
        <f t="shared" si="264"/>
        <v>2.03344</v>
      </c>
      <c r="H560" s="45">
        <v>0</v>
      </c>
      <c r="I560" s="50">
        <v>1.01523</v>
      </c>
      <c r="J560" s="50">
        <v>1.01821</v>
      </c>
      <c r="K560" s="45">
        <v>0</v>
      </c>
      <c r="L560" s="51">
        <v>2.3</v>
      </c>
      <c r="M560" s="51">
        <v>2.3</v>
      </c>
      <c r="N560" s="31"/>
      <c r="O560" s="31"/>
    </row>
    <row r="561" spans="1:15" ht="14.25" customHeight="1">
      <c r="A561" s="41" t="s">
        <v>440</v>
      </c>
      <c r="B561" s="48"/>
      <c r="C561" s="48"/>
      <c r="D561" s="48"/>
      <c r="E561" s="48"/>
      <c r="F561" s="48" t="s">
        <v>416</v>
      </c>
      <c r="G561" s="50">
        <f t="shared" si="264"/>
        <v>315.30381</v>
      </c>
      <c r="H561" s="50">
        <v>7.98176</v>
      </c>
      <c r="I561" s="50">
        <v>66.03544</v>
      </c>
      <c r="J561" s="50">
        <v>146.10722</v>
      </c>
      <c r="K561" s="50">
        <v>95.17939</v>
      </c>
      <c r="L561" s="45">
        <v>0</v>
      </c>
      <c r="M561" s="45">
        <v>0</v>
      </c>
      <c r="N561" s="31"/>
      <c r="O561" s="31"/>
    </row>
    <row r="562" spans="1:15" ht="14.25" customHeight="1">
      <c r="A562" s="41" t="s">
        <v>417</v>
      </c>
      <c r="B562" s="48"/>
      <c r="C562" s="48"/>
      <c r="D562" s="48"/>
      <c r="E562" s="48"/>
      <c r="F562" s="48" t="s">
        <v>418</v>
      </c>
      <c r="G562" s="53">
        <f t="shared" si="264"/>
        <v>34.852</v>
      </c>
      <c r="H562" s="45">
        <v>0</v>
      </c>
      <c r="I562" s="45">
        <v>0</v>
      </c>
      <c r="J562" s="51">
        <v>7.05</v>
      </c>
      <c r="K562" s="53">
        <v>27.802</v>
      </c>
      <c r="L562" s="45">
        <v>0</v>
      </c>
      <c r="M562" s="45">
        <v>0</v>
      </c>
      <c r="N562" s="31"/>
      <c r="O562" s="31"/>
    </row>
    <row r="563" spans="1:15" ht="15.75" customHeight="1">
      <c r="A563" s="41" t="s">
        <v>308</v>
      </c>
      <c r="B563" s="48"/>
      <c r="C563" s="48"/>
      <c r="D563" s="48"/>
      <c r="E563" s="48"/>
      <c r="F563" s="48" t="s">
        <v>48</v>
      </c>
      <c r="G563" s="49">
        <f t="shared" si="264"/>
        <v>20574.78368</v>
      </c>
      <c r="H563" s="49">
        <v>684.6146</v>
      </c>
      <c r="I563" s="49">
        <v>1473.90789</v>
      </c>
      <c r="J563" s="49">
        <v>9714.54158</v>
      </c>
      <c r="K563" s="49">
        <v>8701.71961</v>
      </c>
      <c r="L563" s="51">
        <v>10645.3</v>
      </c>
      <c r="M563" s="51">
        <v>10642.6</v>
      </c>
      <c r="N563" s="31"/>
      <c r="O563" s="31"/>
    </row>
    <row r="564" spans="1:15" ht="12.75" customHeight="1" hidden="1">
      <c r="A564" s="41" t="s">
        <v>23</v>
      </c>
      <c r="B564" s="48"/>
      <c r="C564" s="48"/>
      <c r="D564" s="48"/>
      <c r="E564" s="48"/>
      <c r="F564" s="48"/>
      <c r="G564" s="50">
        <f t="shared" si="264"/>
        <v>0</v>
      </c>
      <c r="H564" s="50"/>
      <c r="I564" s="50"/>
      <c r="J564" s="50"/>
      <c r="K564" s="50"/>
      <c r="L564" s="50"/>
      <c r="M564" s="50"/>
      <c r="N564" s="31"/>
      <c r="O564" s="31"/>
    </row>
    <row r="565" spans="1:15" ht="15" customHeight="1" hidden="1">
      <c r="A565" s="41" t="s">
        <v>202</v>
      </c>
      <c r="B565" s="48"/>
      <c r="C565" s="48"/>
      <c r="D565" s="48"/>
      <c r="E565" s="48"/>
      <c r="F565" s="48" t="s">
        <v>48</v>
      </c>
      <c r="G565" s="50">
        <f t="shared" si="264"/>
        <v>0</v>
      </c>
      <c r="H565" s="50"/>
      <c r="I565" s="50"/>
      <c r="J565" s="50"/>
      <c r="K565" s="50"/>
      <c r="L565" s="50"/>
      <c r="M565" s="50"/>
      <c r="N565" s="31"/>
      <c r="O565" s="31"/>
    </row>
    <row r="566" spans="1:15" ht="15.75" customHeight="1" hidden="1">
      <c r="A566" s="41" t="s">
        <v>64</v>
      </c>
      <c r="B566" s="48"/>
      <c r="C566" s="48"/>
      <c r="D566" s="48"/>
      <c r="E566" s="48"/>
      <c r="F566" s="48" t="s">
        <v>48</v>
      </c>
      <c r="G566" s="50">
        <f t="shared" si="264"/>
        <v>0</v>
      </c>
      <c r="H566" s="50"/>
      <c r="I566" s="50"/>
      <c r="J566" s="50"/>
      <c r="K566" s="50"/>
      <c r="L566" s="50"/>
      <c r="M566" s="50"/>
      <c r="N566" s="31"/>
      <c r="O566" s="31"/>
    </row>
    <row r="567" spans="1:15" ht="15.75" customHeight="1" hidden="1">
      <c r="A567" s="41" t="s">
        <v>27</v>
      </c>
      <c r="B567" s="48"/>
      <c r="C567" s="48"/>
      <c r="D567" s="48"/>
      <c r="E567" s="48"/>
      <c r="F567" s="48" t="s">
        <v>48</v>
      </c>
      <c r="G567" s="50">
        <f t="shared" si="264"/>
        <v>0</v>
      </c>
      <c r="H567" s="50"/>
      <c r="I567" s="50"/>
      <c r="J567" s="50"/>
      <c r="K567" s="50"/>
      <c r="L567" s="50"/>
      <c r="M567" s="50"/>
      <c r="N567" s="31"/>
      <c r="O567" s="31"/>
    </row>
    <row r="568" spans="1:15" ht="15.75" customHeight="1" hidden="1">
      <c r="A568" s="41" t="s">
        <v>86</v>
      </c>
      <c r="B568" s="48"/>
      <c r="C568" s="48"/>
      <c r="D568" s="48"/>
      <c r="E568" s="48"/>
      <c r="F568" s="48" t="s">
        <v>48</v>
      </c>
      <c r="G568" s="50">
        <f t="shared" si="264"/>
        <v>0</v>
      </c>
      <c r="H568" s="50"/>
      <c r="I568" s="50"/>
      <c r="J568" s="50"/>
      <c r="K568" s="50"/>
      <c r="L568" s="50"/>
      <c r="M568" s="50"/>
      <c r="N568" s="31"/>
      <c r="O568" s="31"/>
    </row>
    <row r="569" spans="1:15" ht="15.75" customHeight="1" hidden="1">
      <c r="A569" s="41" t="s">
        <v>65</v>
      </c>
      <c r="B569" s="48"/>
      <c r="C569" s="48"/>
      <c r="D569" s="48"/>
      <c r="E569" s="48"/>
      <c r="F569" s="48" t="s">
        <v>48</v>
      </c>
      <c r="G569" s="50">
        <f t="shared" si="264"/>
        <v>0</v>
      </c>
      <c r="H569" s="50"/>
      <c r="I569" s="50"/>
      <c r="J569" s="50"/>
      <c r="K569" s="50"/>
      <c r="L569" s="50"/>
      <c r="M569" s="50"/>
      <c r="N569" s="31"/>
      <c r="O569" s="31"/>
    </row>
    <row r="570" spans="1:15" ht="15.75" customHeight="1" hidden="1">
      <c r="A570" s="41" t="s">
        <v>74</v>
      </c>
      <c r="B570" s="48"/>
      <c r="C570" s="48"/>
      <c r="D570" s="48"/>
      <c r="E570" s="48"/>
      <c r="F570" s="48" t="s">
        <v>48</v>
      </c>
      <c r="G570" s="50">
        <f t="shared" si="264"/>
        <v>0</v>
      </c>
      <c r="H570" s="50"/>
      <c r="I570" s="50"/>
      <c r="J570" s="50"/>
      <c r="K570" s="50"/>
      <c r="L570" s="50"/>
      <c r="M570" s="50"/>
      <c r="N570" s="31"/>
      <c r="O570" s="31"/>
    </row>
    <row r="571" spans="1:15" ht="14.25" customHeight="1">
      <c r="A571" s="43" t="s">
        <v>305</v>
      </c>
      <c r="B571" s="48"/>
      <c r="C571" s="48"/>
      <c r="D571" s="48"/>
      <c r="E571" s="48"/>
      <c r="F571" s="48" t="s">
        <v>49</v>
      </c>
      <c r="G571" s="50">
        <f t="shared" si="264"/>
        <v>6805.394130000001</v>
      </c>
      <c r="H571" s="50">
        <v>722.29518</v>
      </c>
      <c r="I571" s="50">
        <v>1626.06248</v>
      </c>
      <c r="J571" s="50">
        <v>1480.65675</v>
      </c>
      <c r="K571" s="50">
        <v>2976.37972</v>
      </c>
      <c r="L571" s="51">
        <v>2456.21</v>
      </c>
      <c r="M571" s="51">
        <v>2456.11</v>
      </c>
      <c r="N571" s="31"/>
      <c r="O571" s="31"/>
    </row>
    <row r="572" spans="1:15" ht="13.5" customHeight="1">
      <c r="A572" s="43" t="s">
        <v>339</v>
      </c>
      <c r="B572" s="48"/>
      <c r="C572" s="48"/>
      <c r="D572" s="48"/>
      <c r="E572" s="48"/>
      <c r="F572" s="48" t="s">
        <v>72</v>
      </c>
      <c r="G572" s="50">
        <f t="shared" si="264"/>
        <v>4662.87129</v>
      </c>
      <c r="H572" s="51">
        <v>504.35</v>
      </c>
      <c r="I572" s="50">
        <v>710.62867</v>
      </c>
      <c r="J572" s="50">
        <v>3205.00185</v>
      </c>
      <c r="K572" s="50">
        <v>242.89077</v>
      </c>
      <c r="L572" s="51">
        <v>1705.75</v>
      </c>
      <c r="M572" s="51">
        <v>1671.35</v>
      </c>
      <c r="N572" s="31"/>
      <c r="O572" s="31"/>
    </row>
    <row r="573" spans="1:15" ht="15" customHeight="1">
      <c r="A573" s="43" t="s">
        <v>93</v>
      </c>
      <c r="B573" s="48"/>
      <c r="C573" s="48"/>
      <c r="D573" s="48"/>
      <c r="E573" s="48"/>
      <c r="F573" s="48" t="s">
        <v>51</v>
      </c>
      <c r="G573" s="50">
        <f t="shared" si="264"/>
        <v>149.84</v>
      </c>
      <c r="H573" s="49">
        <v>18.4923</v>
      </c>
      <c r="I573" s="45">
        <v>0</v>
      </c>
      <c r="J573" s="49">
        <v>18.4923</v>
      </c>
      <c r="K573" s="49">
        <v>112.8554</v>
      </c>
      <c r="L573" s="51">
        <v>299.84</v>
      </c>
      <c r="M573" s="51">
        <v>299.84</v>
      </c>
      <c r="N573" s="31"/>
      <c r="O573" s="31"/>
    </row>
    <row r="574" spans="1:15" ht="14.25" customHeight="1">
      <c r="A574" s="41" t="s">
        <v>30</v>
      </c>
      <c r="B574" s="48"/>
      <c r="C574" s="48"/>
      <c r="D574" s="48"/>
      <c r="E574" s="48"/>
      <c r="F574" s="48" t="s">
        <v>250</v>
      </c>
      <c r="G574" s="50">
        <f t="shared" si="264"/>
        <v>371.21491999999995</v>
      </c>
      <c r="H574" s="50">
        <v>88.62969</v>
      </c>
      <c r="I574" s="50">
        <v>88.62966</v>
      </c>
      <c r="J574" s="50">
        <v>95.30816</v>
      </c>
      <c r="K574" s="50">
        <v>98.64741</v>
      </c>
      <c r="L574" s="51">
        <v>411.9</v>
      </c>
      <c r="M574" s="51">
        <v>411.9</v>
      </c>
      <c r="N574" s="31"/>
      <c r="O574" s="31"/>
    </row>
    <row r="575" spans="1:15" ht="15.75" customHeight="1">
      <c r="A575" s="41" t="s">
        <v>270</v>
      </c>
      <c r="B575" s="48"/>
      <c r="C575" s="48"/>
      <c r="D575" s="48"/>
      <c r="E575" s="48"/>
      <c r="F575" s="48" t="s">
        <v>50</v>
      </c>
      <c r="G575" s="72">
        <f t="shared" si="264"/>
        <v>91103.01485</v>
      </c>
      <c r="H575" s="51">
        <v>2388.43026</v>
      </c>
      <c r="I575" s="51">
        <v>8503.10738</v>
      </c>
      <c r="J575" s="51">
        <v>1045.3268</v>
      </c>
      <c r="K575" s="51">
        <v>79166.15041</v>
      </c>
      <c r="L575" s="51">
        <v>42859</v>
      </c>
      <c r="M575" s="51">
        <v>46480.7</v>
      </c>
      <c r="N575" s="31"/>
      <c r="O575" s="31"/>
    </row>
    <row r="576" spans="1:15" ht="15.75" customHeight="1">
      <c r="A576" s="41" t="s">
        <v>23</v>
      </c>
      <c r="B576" s="48"/>
      <c r="C576" s="48"/>
      <c r="D576" s="48"/>
      <c r="E576" s="48"/>
      <c r="F576" s="48"/>
      <c r="G576" s="50"/>
      <c r="H576" s="50"/>
      <c r="I576" s="50"/>
      <c r="J576" s="50"/>
      <c r="K576" s="50"/>
      <c r="L576" s="50"/>
      <c r="M576" s="50"/>
      <c r="N576" s="31"/>
      <c r="O576" s="31"/>
    </row>
    <row r="577" spans="1:15" ht="15.75" customHeight="1">
      <c r="A577" s="41" t="s">
        <v>270</v>
      </c>
      <c r="B577" s="48"/>
      <c r="C577" s="48"/>
      <c r="D577" s="48"/>
      <c r="E577" s="48"/>
      <c r="F577" s="48" t="s">
        <v>269</v>
      </c>
      <c r="G577" s="50">
        <f t="shared" si="264"/>
        <v>1033.9279999999999</v>
      </c>
      <c r="H577" s="51">
        <v>265.322</v>
      </c>
      <c r="I577" s="51">
        <v>279.045</v>
      </c>
      <c r="J577" s="51">
        <v>252.296</v>
      </c>
      <c r="K577" s="51">
        <v>237.265</v>
      </c>
      <c r="L577" s="51">
        <v>993</v>
      </c>
      <c r="M577" s="51">
        <v>993</v>
      </c>
      <c r="N577" s="31"/>
      <c r="O577" s="31"/>
    </row>
    <row r="578" spans="1:15" ht="30.75" customHeight="1">
      <c r="A578" s="43" t="s">
        <v>343</v>
      </c>
      <c r="B578" s="48"/>
      <c r="C578" s="48"/>
      <c r="D578" s="48"/>
      <c r="E578" s="48"/>
      <c r="F578" s="48" t="s">
        <v>344</v>
      </c>
      <c r="G578" s="50">
        <f t="shared" si="264"/>
        <v>2.1948600000000003</v>
      </c>
      <c r="H578" s="45">
        <v>0</v>
      </c>
      <c r="I578" s="45">
        <v>0</v>
      </c>
      <c r="J578" s="50">
        <v>2.06937</v>
      </c>
      <c r="K578" s="50">
        <v>0.12549</v>
      </c>
      <c r="L578" s="45">
        <v>0</v>
      </c>
      <c r="M578" s="45">
        <v>0</v>
      </c>
      <c r="N578" s="31"/>
      <c r="O578" s="31"/>
    </row>
    <row r="579" spans="1:15" ht="27.75" customHeight="1">
      <c r="A579" s="61" t="s">
        <v>379</v>
      </c>
      <c r="B579" s="48"/>
      <c r="C579" s="48"/>
      <c r="D579" s="48"/>
      <c r="E579" s="48"/>
      <c r="F579" s="48" t="s">
        <v>380</v>
      </c>
      <c r="G579" s="50">
        <f t="shared" si="264"/>
        <v>4.77668</v>
      </c>
      <c r="H579" s="50">
        <v>4.77668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31"/>
      <c r="O579" s="31"/>
    </row>
    <row r="580" spans="1:15" ht="15.75" customHeight="1">
      <c r="A580" s="41" t="s">
        <v>259</v>
      </c>
      <c r="B580" s="48"/>
      <c r="C580" s="48"/>
      <c r="D580" s="48"/>
      <c r="E580" s="48"/>
      <c r="F580" s="48" t="s">
        <v>258</v>
      </c>
      <c r="G580" s="50">
        <f t="shared" si="264"/>
        <v>100.25</v>
      </c>
      <c r="H580" s="45">
        <v>0</v>
      </c>
      <c r="I580" s="45">
        <v>0</v>
      </c>
      <c r="J580" s="51">
        <v>90</v>
      </c>
      <c r="K580" s="51">
        <v>10.25</v>
      </c>
      <c r="L580" s="45">
        <v>0</v>
      </c>
      <c r="M580" s="45">
        <v>0</v>
      </c>
      <c r="N580" s="31"/>
      <c r="O580" s="31"/>
    </row>
    <row r="581" spans="1:15" ht="15.75" customHeight="1">
      <c r="A581" s="41" t="s">
        <v>341</v>
      </c>
      <c r="B581" s="48"/>
      <c r="C581" s="48"/>
      <c r="D581" s="48"/>
      <c r="E581" s="48"/>
      <c r="F581" s="48" t="s">
        <v>342</v>
      </c>
      <c r="G581" s="50">
        <f t="shared" si="264"/>
        <v>30.156000000000002</v>
      </c>
      <c r="H581" s="53">
        <v>29.527</v>
      </c>
      <c r="I581" s="45">
        <v>0</v>
      </c>
      <c r="J581" s="45">
        <v>0</v>
      </c>
      <c r="K581" s="53">
        <v>0.629</v>
      </c>
      <c r="L581" s="45">
        <v>0</v>
      </c>
      <c r="M581" s="45">
        <v>0</v>
      </c>
      <c r="N581" s="31"/>
      <c r="O581" s="31"/>
    </row>
    <row r="582" spans="1:15" ht="12.75" customHeight="1">
      <c r="A582" s="77" t="s">
        <v>387</v>
      </c>
      <c r="B582" s="48"/>
      <c r="C582" s="48"/>
      <c r="D582" s="48"/>
      <c r="E582" s="48"/>
      <c r="F582" s="48" t="s">
        <v>381</v>
      </c>
      <c r="G582" s="50">
        <f t="shared" si="264"/>
        <v>42033.438819999996</v>
      </c>
      <c r="H582" s="50">
        <v>1579.83458</v>
      </c>
      <c r="I582" s="50">
        <v>7774.46638</v>
      </c>
      <c r="J582" s="45">
        <v>0</v>
      </c>
      <c r="K582" s="50">
        <v>32679.13786</v>
      </c>
      <c r="L582" s="51">
        <v>39800.2</v>
      </c>
      <c r="M582" s="51">
        <v>43421.9</v>
      </c>
      <c r="N582" s="31"/>
      <c r="O582" s="31"/>
    </row>
    <row r="583" spans="1:15" ht="13.5" customHeight="1">
      <c r="A583" s="43" t="s">
        <v>31</v>
      </c>
      <c r="B583" s="48"/>
      <c r="C583" s="48"/>
      <c r="D583" s="48"/>
      <c r="E583" s="48"/>
      <c r="F583" s="48" t="s">
        <v>52</v>
      </c>
      <c r="G583" s="50">
        <f t="shared" si="264"/>
        <v>4809.4295600000005</v>
      </c>
      <c r="H583" s="50">
        <f aca="true" t="shared" si="266" ref="H583:M583">H584+H588</f>
        <v>438.4910100000001</v>
      </c>
      <c r="I583" s="50">
        <f t="shared" si="266"/>
        <v>1076.71978</v>
      </c>
      <c r="J583" s="50">
        <f t="shared" si="266"/>
        <v>912.42608</v>
      </c>
      <c r="K583" s="50">
        <f t="shared" si="266"/>
        <v>2381.79269</v>
      </c>
      <c r="L583" s="50">
        <f t="shared" si="266"/>
        <v>4487.5</v>
      </c>
      <c r="M583" s="51">
        <f t="shared" si="266"/>
        <v>3790.6</v>
      </c>
      <c r="N583" s="31"/>
      <c r="O583" s="31"/>
    </row>
    <row r="584" spans="1:15" ht="13.5" customHeight="1">
      <c r="A584" s="43" t="s">
        <v>265</v>
      </c>
      <c r="B584" s="48"/>
      <c r="C584" s="48"/>
      <c r="D584" s="48"/>
      <c r="E584" s="48"/>
      <c r="F584" s="48" t="s">
        <v>53</v>
      </c>
      <c r="G584" s="50">
        <f t="shared" si="264"/>
        <v>1647.262</v>
      </c>
      <c r="H584" s="50">
        <v>51.72</v>
      </c>
      <c r="I584" s="50">
        <v>344.165</v>
      </c>
      <c r="J584" s="50">
        <v>123.72</v>
      </c>
      <c r="K584" s="50">
        <v>1127.657</v>
      </c>
      <c r="L584" s="50">
        <v>2267.6</v>
      </c>
      <c r="M584" s="51">
        <v>1028.1</v>
      </c>
      <c r="N584" s="31"/>
      <c r="O584" s="31"/>
    </row>
    <row r="585" spans="1:15" ht="12.75" customHeight="1" hidden="1">
      <c r="A585" s="43" t="s">
        <v>23</v>
      </c>
      <c r="B585" s="48"/>
      <c r="C585" s="48"/>
      <c r="D585" s="48"/>
      <c r="E585" s="48"/>
      <c r="F585" s="48"/>
      <c r="G585" s="50">
        <f t="shared" si="264"/>
        <v>0</v>
      </c>
      <c r="H585" s="50"/>
      <c r="I585" s="50"/>
      <c r="J585" s="50"/>
      <c r="K585" s="50"/>
      <c r="L585" s="50"/>
      <c r="M585" s="50"/>
      <c r="N585" s="31"/>
      <c r="O585" s="31"/>
    </row>
    <row r="586" spans="1:15" ht="12.75" customHeight="1" hidden="1">
      <c r="A586" s="43" t="s">
        <v>75</v>
      </c>
      <c r="B586" s="48"/>
      <c r="C586" s="48"/>
      <c r="D586" s="48"/>
      <c r="E586" s="48"/>
      <c r="F586" s="48" t="s">
        <v>53</v>
      </c>
      <c r="G586" s="50">
        <f t="shared" si="264"/>
        <v>0</v>
      </c>
      <c r="H586" s="50"/>
      <c r="I586" s="50"/>
      <c r="J586" s="50"/>
      <c r="K586" s="50"/>
      <c r="L586" s="50"/>
      <c r="M586" s="50"/>
      <c r="N586" s="31"/>
      <c r="O586" s="31"/>
    </row>
    <row r="587" spans="1:15" ht="14.25" customHeight="1" hidden="1">
      <c r="A587" s="43" t="s">
        <v>74</v>
      </c>
      <c r="B587" s="48"/>
      <c r="C587" s="48"/>
      <c r="D587" s="48"/>
      <c r="E587" s="48"/>
      <c r="F587" s="48" t="s">
        <v>53</v>
      </c>
      <c r="G587" s="50">
        <f t="shared" si="264"/>
        <v>0</v>
      </c>
      <c r="H587" s="50"/>
      <c r="I587" s="50"/>
      <c r="J587" s="50"/>
      <c r="K587" s="50"/>
      <c r="L587" s="50"/>
      <c r="M587" s="50"/>
      <c r="N587" s="31"/>
      <c r="O587" s="31"/>
    </row>
    <row r="588" spans="1:15" ht="13.5" customHeight="1">
      <c r="A588" s="43" t="s">
        <v>84</v>
      </c>
      <c r="B588" s="48"/>
      <c r="C588" s="48"/>
      <c r="D588" s="48"/>
      <c r="E588" s="48"/>
      <c r="F588" s="48" t="s">
        <v>54</v>
      </c>
      <c r="G588" s="50">
        <f t="shared" si="264"/>
        <v>3162.16756</v>
      </c>
      <c r="H588" s="50">
        <f aca="true" t="shared" si="267" ref="H588:M588">H590+H591</f>
        <v>386.77101000000005</v>
      </c>
      <c r="I588" s="50">
        <f t="shared" si="267"/>
        <v>732.5547799999999</v>
      </c>
      <c r="J588" s="50">
        <f t="shared" si="267"/>
        <v>788.7060799999999</v>
      </c>
      <c r="K588" s="50">
        <f t="shared" si="267"/>
        <v>1254.13569</v>
      </c>
      <c r="L588" s="51">
        <f t="shared" si="267"/>
        <v>2219.9</v>
      </c>
      <c r="M588" s="51">
        <f t="shared" si="267"/>
        <v>2762.5</v>
      </c>
      <c r="N588" s="31"/>
      <c r="O588" s="31"/>
    </row>
    <row r="589" spans="1:15" ht="12.75" customHeight="1">
      <c r="A589" s="43" t="s">
        <v>23</v>
      </c>
      <c r="B589" s="48"/>
      <c r="C589" s="48"/>
      <c r="D589" s="48"/>
      <c r="E589" s="48"/>
      <c r="F589" s="48"/>
      <c r="G589" s="50"/>
      <c r="H589" s="50"/>
      <c r="I589" s="50"/>
      <c r="J589" s="50"/>
      <c r="K589" s="50"/>
      <c r="L589" s="51"/>
      <c r="M589" s="51"/>
      <c r="N589" s="31"/>
      <c r="O589" s="31"/>
    </row>
    <row r="590" spans="1:15" ht="14.25" customHeight="1">
      <c r="A590" s="43" t="s">
        <v>34</v>
      </c>
      <c r="B590" s="48"/>
      <c r="C590" s="48"/>
      <c r="D590" s="48"/>
      <c r="E590" s="48"/>
      <c r="F590" s="48" t="s">
        <v>348</v>
      </c>
      <c r="G590" s="50">
        <f t="shared" si="264"/>
        <v>719.1106500000001</v>
      </c>
      <c r="H590" s="51">
        <v>102.48</v>
      </c>
      <c r="I590" s="50">
        <v>63.776</v>
      </c>
      <c r="J590" s="50">
        <v>273.4748</v>
      </c>
      <c r="K590" s="50">
        <v>279.37985</v>
      </c>
      <c r="L590" s="51">
        <v>300</v>
      </c>
      <c r="M590" s="51">
        <v>300</v>
      </c>
      <c r="N590" s="31"/>
      <c r="O590" s="31"/>
    </row>
    <row r="591" spans="1:15" ht="15" customHeight="1">
      <c r="A591" s="43" t="s">
        <v>35</v>
      </c>
      <c r="B591" s="48"/>
      <c r="C591" s="48"/>
      <c r="D591" s="48"/>
      <c r="E591" s="48"/>
      <c r="F591" s="48" t="s">
        <v>340</v>
      </c>
      <c r="G591" s="50">
        <f t="shared" si="264"/>
        <v>2443.0569100000002</v>
      </c>
      <c r="H591" s="50">
        <v>284.29101</v>
      </c>
      <c r="I591" s="50">
        <v>668.77878</v>
      </c>
      <c r="J591" s="50">
        <v>515.23128</v>
      </c>
      <c r="K591" s="50">
        <v>974.75584</v>
      </c>
      <c r="L591" s="50">
        <v>1919.9</v>
      </c>
      <c r="M591" s="51">
        <v>2462.5</v>
      </c>
      <c r="N591" s="31"/>
      <c r="O591" s="31"/>
    </row>
    <row r="592" spans="1:15" ht="10.5" customHeight="1">
      <c r="A592" s="43"/>
      <c r="B592" s="48"/>
      <c r="C592" s="48"/>
      <c r="D592" s="48"/>
      <c r="E592" s="48"/>
      <c r="F592" s="48"/>
      <c r="G592" s="50"/>
      <c r="H592" s="50"/>
      <c r="I592" s="50"/>
      <c r="J592" s="50"/>
      <c r="K592" s="50"/>
      <c r="L592" s="50"/>
      <c r="M592" s="50"/>
      <c r="N592" s="31"/>
      <c r="O592" s="31"/>
    </row>
    <row r="593" spans="1:15" ht="17.25" customHeight="1">
      <c r="A593" s="62" t="s">
        <v>9</v>
      </c>
      <c r="B593" s="48"/>
      <c r="C593" s="48"/>
      <c r="D593" s="48"/>
      <c r="E593" s="48"/>
      <c r="F593" s="48"/>
      <c r="G593" s="56">
        <f aca="true" t="shared" si="268" ref="G593:M593">G549+G550+G551+G553+G554+G557+G558+G559+G560+G561+G562+G563+G571+G572+G573+G574+G575+G583</f>
        <v>187545.72591999997</v>
      </c>
      <c r="H593" s="56">
        <f t="shared" si="268"/>
        <v>18176.288120000005</v>
      </c>
      <c r="I593" s="56">
        <f t="shared" si="268"/>
        <v>24948.345589999997</v>
      </c>
      <c r="J593" s="56">
        <f t="shared" si="268"/>
        <v>29212.190940000004</v>
      </c>
      <c r="K593" s="56">
        <f t="shared" si="268"/>
        <v>115208.90127</v>
      </c>
      <c r="L593" s="58">
        <f t="shared" si="268"/>
        <v>118384.6</v>
      </c>
      <c r="M593" s="58">
        <f t="shared" si="268"/>
        <v>122921.6</v>
      </c>
      <c r="N593" s="31"/>
      <c r="O593" s="31"/>
    </row>
  </sheetData>
  <sheetProtection/>
  <mergeCells count="23">
    <mergeCell ref="C14:C15"/>
    <mergeCell ref="G13:M13"/>
    <mergeCell ref="A7:K7"/>
    <mergeCell ref="A13:A15"/>
    <mergeCell ref="B14:B15"/>
    <mergeCell ref="B13:F13"/>
    <mergeCell ref="F14:F15"/>
    <mergeCell ref="H14:K14"/>
    <mergeCell ref="K1:M1"/>
    <mergeCell ref="K2:M2"/>
    <mergeCell ref="K3:M3"/>
    <mergeCell ref="K4:M4"/>
    <mergeCell ref="A10:K10"/>
    <mergeCell ref="A8:K8"/>
    <mergeCell ref="A9:K9"/>
    <mergeCell ref="A6:K6"/>
    <mergeCell ref="O14:O15"/>
    <mergeCell ref="G14:G15"/>
    <mergeCell ref="L14:L15"/>
    <mergeCell ref="E14:E15"/>
    <mergeCell ref="D14:D15"/>
    <mergeCell ref="M14:M15"/>
    <mergeCell ref="N14:N15"/>
  </mergeCells>
  <printOptions horizontalCentered="1"/>
  <pageMargins left="0.2362204724409449" right="0.2362204724409449" top="0.3937007874015748" bottom="0.2755905511811024" header="0.15748031496062992" footer="0.1968503937007874"/>
  <pageSetup fitToHeight="0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2021-12-29T13:21:49Z</cp:lastPrinted>
  <dcterms:created xsi:type="dcterms:W3CDTF">2007-12-05T06:56:16Z</dcterms:created>
  <dcterms:modified xsi:type="dcterms:W3CDTF">2022-05-27T05:46:22Z</dcterms:modified>
  <cp:category/>
  <cp:version/>
  <cp:contentType/>
  <cp:contentStatus/>
</cp:coreProperties>
</file>